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PROPOS\PROPOS\09 ZAKÁZKY\2023\017 Červený Kopec DPS\"/>
    </mc:Choice>
  </mc:AlternateContent>
  <xr:revisionPtr revIDLastSave="0" documentId="13_ncr:1_{DFEE8CD6-3128-4BB3-8FCD-E3D8E04F8CB6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P1_podlahy" sheetId="5" r:id="rId1"/>
    <sheet name="P2_podhledy" sheetId="4" r:id="rId2"/>
    <sheet name="P3_stěny" sheetId="10" r:id="rId3"/>
    <sheet name="P4_sokly" sheetId="12" r:id="rId4"/>
    <sheet name="P5_LOP" sheetId="13" r:id="rId5"/>
  </sheets>
  <definedNames>
    <definedName name="_xlnm.Print_Area" localSheetId="0">P1_podlahy!$D$1:$K$578</definedName>
    <definedName name="_xlnm.Print_Area" localSheetId="1">P2_podhledy!$D$1:$K$561</definedName>
    <definedName name="_xlnm.Print_Area" localSheetId="2">P3_stěny!$A$1:$AZ$536</definedName>
    <definedName name="_xlnm.Print_Area" localSheetId="3">P4_sokly!$D$1:$BB$464</definedName>
    <definedName name="_xlnm.Print_Area" localSheetId="4">P5_LOP!$A$1:$J$88</definedName>
  </definedNames>
  <calcPr calcId="191029"/>
</workbook>
</file>

<file path=xl/calcChain.xml><?xml version="1.0" encoding="utf-8"?>
<calcChain xmlns="http://schemas.openxmlformats.org/spreadsheetml/2006/main">
  <c r="F4" i="5" l="1"/>
  <c r="BB464" i="12"/>
  <c r="BB462" i="12"/>
  <c r="B87" i="13" l="1"/>
  <c r="D85" i="13"/>
  <c r="E85" i="13" s="1"/>
  <c r="D84" i="13"/>
  <c r="E84" i="13" s="1"/>
  <c r="D83" i="13"/>
  <c r="E83" i="13" s="1"/>
  <c r="D82" i="13"/>
  <c r="E82" i="13" s="1"/>
  <c r="D81" i="13"/>
  <c r="E81" i="13" s="1"/>
  <c r="D80" i="13"/>
  <c r="E80" i="13" s="1"/>
  <c r="D79" i="13"/>
  <c r="E79" i="13" s="1"/>
  <c r="D78" i="13"/>
  <c r="E78" i="13" s="1"/>
  <c r="D77" i="13"/>
  <c r="E77" i="13" s="1"/>
  <c r="D76" i="13"/>
  <c r="E76" i="13" s="1"/>
  <c r="D75" i="13"/>
  <c r="E75" i="13" s="1"/>
  <c r="I74" i="13"/>
  <c r="D74" i="13"/>
  <c r="E74" i="13" s="1"/>
  <c r="D73" i="13"/>
  <c r="E73" i="13" s="1"/>
  <c r="D72" i="13"/>
  <c r="E72" i="13" s="1"/>
  <c r="D71" i="13"/>
  <c r="E71" i="13" s="1"/>
  <c r="E70" i="13"/>
  <c r="D70" i="13"/>
  <c r="D69" i="13"/>
  <c r="E69" i="13" s="1"/>
  <c r="D68" i="13"/>
  <c r="E68" i="13" s="1"/>
  <c r="D67" i="13"/>
  <c r="E67" i="13" s="1"/>
  <c r="D66" i="13"/>
  <c r="E66" i="13" s="1"/>
  <c r="D65" i="13"/>
  <c r="E65" i="13" s="1"/>
  <c r="D64" i="13"/>
  <c r="E64" i="13" s="1"/>
  <c r="I63" i="13"/>
  <c r="D63" i="13"/>
  <c r="E63" i="13" s="1"/>
  <c r="D62" i="13"/>
  <c r="E62" i="13" s="1"/>
  <c r="I61" i="13"/>
  <c r="D61" i="13"/>
  <c r="E61" i="13" s="1"/>
  <c r="D60" i="13"/>
  <c r="E60" i="13" s="1"/>
  <c r="D59" i="13"/>
  <c r="E59" i="13" s="1"/>
  <c r="D58" i="13"/>
  <c r="E58" i="13" s="1"/>
  <c r="E57" i="13"/>
  <c r="D57" i="13"/>
  <c r="D56" i="13"/>
  <c r="E56" i="13" s="1"/>
  <c r="D55" i="13"/>
  <c r="E55" i="13" s="1"/>
  <c r="D54" i="13"/>
  <c r="E54" i="13" s="1"/>
  <c r="D53" i="13"/>
  <c r="E53" i="13" s="1"/>
  <c r="D52" i="13"/>
  <c r="E52" i="13" s="1"/>
  <c r="D51" i="13"/>
  <c r="E51" i="13" s="1"/>
  <c r="D50" i="13"/>
  <c r="E50" i="13" s="1"/>
  <c r="D49" i="13"/>
  <c r="E49" i="13" s="1"/>
  <c r="D48" i="13"/>
  <c r="E48" i="13" s="1"/>
  <c r="D47" i="13"/>
  <c r="E47" i="13" s="1"/>
  <c r="D46" i="13"/>
  <c r="E46" i="13" s="1"/>
  <c r="D45" i="13"/>
  <c r="E45" i="13" s="1"/>
  <c r="D44" i="13"/>
  <c r="E44" i="13" s="1"/>
  <c r="D43" i="13"/>
  <c r="E43" i="13" s="1"/>
  <c r="D42" i="13"/>
  <c r="E42" i="13" s="1"/>
  <c r="E41" i="13"/>
  <c r="D41" i="13"/>
  <c r="D40" i="13"/>
  <c r="E40" i="13" s="1"/>
  <c r="D39" i="13"/>
  <c r="E39" i="13" s="1"/>
  <c r="D38" i="13"/>
  <c r="E38" i="13" s="1"/>
  <c r="D37" i="13"/>
  <c r="E37" i="13" s="1"/>
  <c r="D36" i="13"/>
  <c r="E36" i="13" s="1"/>
  <c r="D35" i="13"/>
  <c r="E35" i="13" s="1"/>
  <c r="D34" i="13"/>
  <c r="E34" i="13" s="1"/>
  <c r="D33" i="13"/>
  <c r="E33" i="13" s="1"/>
  <c r="D32" i="13"/>
  <c r="E32" i="13" s="1"/>
  <c r="D31" i="13"/>
  <c r="E31" i="13" s="1"/>
  <c r="D30" i="13"/>
  <c r="E30" i="13" s="1"/>
  <c r="D29" i="13"/>
  <c r="E29" i="13" s="1"/>
  <c r="I28" i="13"/>
  <c r="D28" i="13"/>
  <c r="E28" i="13" s="1"/>
  <c r="D27" i="13"/>
  <c r="E27" i="13" s="1"/>
  <c r="D26" i="13"/>
  <c r="E26" i="13" s="1"/>
  <c r="D25" i="13"/>
  <c r="E25" i="13" s="1"/>
  <c r="D24" i="13"/>
  <c r="E24" i="13" s="1"/>
  <c r="D23" i="13"/>
  <c r="E23" i="13" s="1"/>
  <c r="D22" i="13"/>
  <c r="E22" i="13" s="1"/>
  <c r="D21" i="13"/>
  <c r="E21" i="13" s="1"/>
  <c r="D20" i="13"/>
  <c r="E20" i="13" s="1"/>
  <c r="I19" i="13"/>
  <c r="D19" i="13"/>
  <c r="E19" i="13" s="1"/>
  <c r="D18" i="13"/>
  <c r="E18" i="13" s="1"/>
  <c r="I17" i="13"/>
  <c r="D17" i="13"/>
  <c r="E17" i="13" s="1"/>
  <c r="D16" i="13"/>
  <c r="E16" i="13" s="1"/>
  <c r="D15" i="13"/>
  <c r="E15" i="13" s="1"/>
  <c r="I14" i="13"/>
  <c r="D14" i="13"/>
  <c r="E14" i="13" s="1"/>
  <c r="D13" i="13"/>
  <c r="E13" i="13" s="1"/>
  <c r="D12" i="13"/>
  <c r="E12" i="13" s="1"/>
  <c r="D11" i="13"/>
  <c r="E11" i="13" s="1"/>
  <c r="D10" i="13"/>
  <c r="E10" i="13" s="1"/>
  <c r="D9" i="13"/>
  <c r="E9" i="13" s="1"/>
  <c r="I8" i="13"/>
  <c r="D8" i="13"/>
  <c r="E8" i="13" s="1"/>
  <c r="D7" i="13"/>
  <c r="E7" i="13" s="1"/>
  <c r="I6" i="13"/>
  <c r="D6" i="13"/>
  <c r="E6" i="13" s="1"/>
  <c r="D5" i="13"/>
  <c r="E5" i="13" s="1"/>
  <c r="E4" i="13"/>
  <c r="D4" i="13"/>
  <c r="BB282" i="12"/>
  <c r="BB292" i="12"/>
  <c r="X292" i="12"/>
  <c r="U292" i="12"/>
  <c r="T292" i="12"/>
  <c r="Q292" i="12"/>
  <c r="P292" i="12"/>
  <c r="O292" i="12"/>
  <c r="N292" i="12"/>
  <c r="AP292" i="12" s="1"/>
  <c r="M292" i="12"/>
  <c r="BB294" i="12"/>
  <c r="BB246" i="12"/>
  <c r="BB242" i="12"/>
  <c r="BB247" i="12"/>
  <c r="BB243" i="12"/>
  <c r="BB249" i="12"/>
  <c r="BB248" i="12"/>
  <c r="BB244" i="12"/>
  <c r="BB34" i="12"/>
  <c r="BB255" i="12"/>
  <c r="BB254" i="12"/>
  <c r="BB252" i="12"/>
  <c r="BB251" i="12"/>
  <c r="BB293" i="12"/>
  <c r="BB290" i="12"/>
  <c r="BB289" i="12"/>
  <c r="BB149" i="12"/>
  <c r="BB150" i="12"/>
  <c r="BB151" i="12"/>
  <c r="BB152" i="12"/>
  <c r="BB148" i="12"/>
  <c r="BB181" i="12"/>
  <c r="BB187" i="12"/>
  <c r="BB182" i="12"/>
  <c r="BB188" i="12"/>
  <c r="BB183" i="12"/>
  <c r="BB189" i="12"/>
  <c r="BB200" i="12"/>
  <c r="BB190" i="12"/>
  <c r="BB201" i="12"/>
  <c r="BB261" i="12"/>
  <c r="BB287" i="12"/>
  <c r="BB304" i="12"/>
  <c r="BB301" i="12"/>
  <c r="BB330" i="12"/>
  <c r="BB285" i="12"/>
  <c r="BB279" i="12"/>
  <c r="BB328" i="12"/>
  <c r="BB62" i="12"/>
  <c r="BB277" i="12"/>
  <c r="BB278" i="12"/>
  <c r="BB281" i="12"/>
  <c r="BB284" i="12"/>
  <c r="BB327" i="12"/>
  <c r="BB280" i="12"/>
  <c r="BB276" i="12"/>
  <c r="BB321" i="12"/>
  <c r="BB322" i="12"/>
  <c r="BB323" i="12"/>
  <c r="BB324" i="12"/>
  <c r="BB325" i="12"/>
  <c r="BB329" i="12"/>
  <c r="BB283" i="12"/>
  <c r="BB27" i="12"/>
  <c r="BB316" i="12"/>
  <c r="BB297" i="12"/>
  <c r="BB308" i="12"/>
  <c r="BB300" i="12"/>
  <c r="BB306" i="12"/>
  <c r="BB302" i="12"/>
  <c r="BB303" i="12"/>
  <c r="BB26" i="12"/>
  <c r="BB326" i="12"/>
  <c r="BB44" i="12"/>
  <c r="BB48" i="12"/>
  <c r="BB46" i="12"/>
  <c r="BB40" i="12"/>
  <c r="BB30" i="12"/>
  <c r="BB31" i="12"/>
  <c r="BB50" i="12"/>
  <c r="BB51" i="12"/>
  <c r="BB35" i="12"/>
  <c r="BB37" i="12"/>
  <c r="BB32" i="12"/>
  <c r="BB45" i="12"/>
  <c r="BB52" i="12"/>
  <c r="BB245" i="12"/>
  <c r="BB250" i="12"/>
  <c r="BB259" i="12"/>
  <c r="BB257" i="12"/>
  <c r="BB258" i="12"/>
  <c r="BB42" i="12"/>
  <c r="AY555" i="12"/>
  <c r="AQ555" i="12"/>
  <c r="AP555" i="12"/>
  <c r="AY554" i="12"/>
  <c r="AQ554" i="12"/>
  <c r="AP554" i="12"/>
  <c r="AQ553" i="12"/>
  <c r="AP553" i="12"/>
  <c r="AY552" i="12"/>
  <c r="AQ552" i="12"/>
  <c r="AP552" i="12"/>
  <c r="AQ551" i="12"/>
  <c r="AP551" i="12"/>
  <c r="AQ550" i="12"/>
  <c r="AP550" i="12"/>
  <c r="AY549" i="12"/>
  <c r="AQ549" i="12"/>
  <c r="AP549" i="12"/>
  <c r="AQ548" i="12"/>
  <c r="AP548" i="12"/>
  <c r="AY547" i="12"/>
  <c r="AQ547" i="12"/>
  <c r="AP547" i="12"/>
  <c r="AQ543" i="12"/>
  <c r="AP543" i="12"/>
  <c r="AQ542" i="12"/>
  <c r="AP542" i="12"/>
  <c r="AQ541" i="12"/>
  <c r="AP541" i="12"/>
  <c r="AT540" i="12"/>
  <c r="AQ540" i="12"/>
  <c r="AP540" i="12"/>
  <c r="AZ537" i="12"/>
  <c r="AQ537" i="12"/>
  <c r="AP537" i="12"/>
  <c r="AN537" i="12"/>
  <c r="AM537" i="12"/>
  <c r="AQ536" i="12"/>
  <c r="AP536" i="12"/>
  <c r="AP535" i="12"/>
  <c r="AR534" i="12"/>
  <c r="AP534" i="12"/>
  <c r="AM534" i="12"/>
  <c r="AP533" i="12"/>
  <c r="AM533" i="12"/>
  <c r="AR532" i="12"/>
  <c r="AP532" i="12"/>
  <c r="AM532" i="12"/>
  <c r="AR531" i="12"/>
  <c r="AP531" i="12"/>
  <c r="AH531" i="12"/>
  <c r="AZ527" i="12"/>
  <c r="AP527" i="12"/>
  <c r="AN527" i="12"/>
  <c r="AM527" i="12"/>
  <c r="AL527" i="12"/>
  <c r="AZ524" i="12"/>
  <c r="AO524" i="12"/>
  <c r="AN524" i="12"/>
  <c r="AL524" i="12"/>
  <c r="AQ521" i="12"/>
  <c r="AP521" i="12"/>
  <c r="AY520" i="12"/>
  <c r="AQ520" i="12"/>
  <c r="AP520" i="12"/>
  <c r="AY519" i="12"/>
  <c r="AQ519" i="12"/>
  <c r="AP519" i="12"/>
  <c r="AQ518" i="12"/>
  <c r="AP518" i="12"/>
  <c r="AY517" i="12"/>
  <c r="AQ517" i="12"/>
  <c r="AP517" i="12"/>
  <c r="AQ516" i="12"/>
  <c r="AP516" i="12"/>
  <c r="AQ515" i="12"/>
  <c r="AP515" i="12"/>
  <c r="AY514" i="12"/>
  <c r="AQ514" i="12"/>
  <c r="AP514" i="12"/>
  <c r="AQ513" i="12"/>
  <c r="AP513" i="12"/>
  <c r="AQ509" i="12"/>
  <c r="AP509" i="12"/>
  <c r="AQ508" i="12"/>
  <c r="AP508" i="12"/>
  <c r="AQ507" i="12"/>
  <c r="AP507" i="12"/>
  <c r="AT506" i="12"/>
  <c r="AS506" i="12"/>
  <c r="AQ506" i="12"/>
  <c r="AP506" i="12"/>
  <c r="AZ503" i="12"/>
  <c r="AQ503" i="12"/>
  <c r="AP503" i="12"/>
  <c r="AN503" i="12"/>
  <c r="AM503" i="12"/>
  <c r="AP502" i="12"/>
  <c r="AM502" i="12"/>
  <c r="AP501" i="12"/>
  <c r="AM501" i="12"/>
  <c r="AR500" i="12"/>
  <c r="AP500" i="12"/>
  <c r="AM500" i="12"/>
  <c r="AP499" i="12"/>
  <c r="AR498" i="12"/>
  <c r="AP498" i="12"/>
  <c r="AL498" i="12"/>
  <c r="AR497" i="12"/>
  <c r="AP497" i="12"/>
  <c r="AH497" i="12"/>
  <c r="AZ496" i="12"/>
  <c r="AO496" i="12"/>
  <c r="AN496" i="12"/>
  <c r="AL496" i="12"/>
  <c r="AZ490" i="12"/>
  <c r="AO490" i="12"/>
  <c r="AN490" i="12"/>
  <c r="AM490" i="12"/>
  <c r="AY487" i="12"/>
  <c r="AQ487" i="12"/>
  <c r="AP487" i="12"/>
  <c r="AY486" i="12"/>
  <c r="AQ486" i="12"/>
  <c r="AP486" i="12"/>
  <c r="AY485" i="12"/>
  <c r="AQ485" i="12"/>
  <c r="AP485" i="12"/>
  <c r="AQ484" i="12"/>
  <c r="AP484" i="12"/>
  <c r="AY483" i="12"/>
  <c r="AQ483" i="12"/>
  <c r="AP483" i="12"/>
  <c r="AQ482" i="12"/>
  <c r="AP482" i="12"/>
  <c r="AQ481" i="12"/>
  <c r="AP481" i="12"/>
  <c r="AY480" i="12"/>
  <c r="AQ480" i="12"/>
  <c r="AP480" i="12"/>
  <c r="AQ479" i="12"/>
  <c r="AP479" i="12"/>
  <c r="G479" i="12"/>
  <c r="G478" i="12"/>
  <c r="U477" i="12"/>
  <c r="N477" i="12"/>
  <c r="M477" i="12"/>
  <c r="G477" i="12"/>
  <c r="U476" i="12"/>
  <c r="N476" i="12"/>
  <c r="M476" i="12"/>
  <c r="G476" i="12"/>
  <c r="U475" i="12"/>
  <c r="N475" i="12"/>
  <c r="M475" i="12"/>
  <c r="G475" i="12"/>
  <c r="U474" i="12"/>
  <c r="O474" i="12"/>
  <c r="N474" i="12"/>
  <c r="G474" i="12"/>
  <c r="G473" i="12"/>
  <c r="AP473" i="12" s="1"/>
  <c r="T472" i="12"/>
  <c r="N472" i="12"/>
  <c r="G472" i="12"/>
  <c r="AT472" i="12" s="1"/>
  <c r="T471" i="12"/>
  <c r="N471" i="12"/>
  <c r="G471" i="12"/>
  <c r="T470" i="12"/>
  <c r="N470" i="12"/>
  <c r="G470" i="12"/>
  <c r="T469" i="12"/>
  <c r="N469" i="12"/>
  <c r="G469" i="12"/>
  <c r="T320" i="12"/>
  <c r="M320" i="12"/>
  <c r="BB320" i="12" s="1"/>
  <c r="G320" i="12"/>
  <c r="AP320" i="12" s="1"/>
  <c r="U318" i="12"/>
  <c r="M318" i="12"/>
  <c r="BB318" i="12" s="1"/>
  <c r="G318" i="12"/>
  <c r="AM318" i="12" s="1"/>
  <c r="U319" i="12"/>
  <c r="M319" i="12"/>
  <c r="O319" i="12" s="1"/>
  <c r="G319" i="12"/>
  <c r="AM319" i="12" s="1"/>
  <c r="T329" i="12"/>
  <c r="O329" i="12"/>
  <c r="N329" i="12"/>
  <c r="G329" i="12"/>
  <c r="AP373" i="12"/>
  <c r="G373" i="12"/>
  <c r="AR373" i="12" s="1"/>
  <c r="U331" i="12"/>
  <c r="N331" i="12"/>
  <c r="M331" i="12"/>
  <c r="G331" i="12"/>
  <c r="AR331" i="12" s="1"/>
  <c r="T330" i="12"/>
  <c r="N330" i="12"/>
  <c r="G330" i="12"/>
  <c r="T325" i="12"/>
  <c r="O325" i="12"/>
  <c r="N325" i="12"/>
  <c r="G325" i="12"/>
  <c r="T324" i="12"/>
  <c r="O324" i="12"/>
  <c r="N324" i="12"/>
  <c r="G324" i="12"/>
  <c r="AZ323" i="12"/>
  <c r="AP323" i="12"/>
  <c r="AN323" i="12"/>
  <c r="T323" i="12"/>
  <c r="O323" i="12"/>
  <c r="AM323" i="12" s="1"/>
  <c r="N323" i="12"/>
  <c r="G323" i="12"/>
  <c r="T322" i="12"/>
  <c r="O322" i="12"/>
  <c r="N322" i="12"/>
  <c r="G322" i="12"/>
  <c r="U326" i="12"/>
  <c r="T326" i="12"/>
  <c r="P326" i="12"/>
  <c r="N326" i="12"/>
  <c r="U321" i="12"/>
  <c r="T321" i="12"/>
  <c r="G321" i="12"/>
  <c r="AZ321" i="12" s="1"/>
  <c r="U327" i="12"/>
  <c r="T327" i="12"/>
  <c r="O327" i="12"/>
  <c r="G327" i="12"/>
  <c r="U328" i="12"/>
  <c r="T328" i="12"/>
  <c r="O328" i="12"/>
  <c r="G328" i="12"/>
  <c r="W317" i="12"/>
  <c r="U317" i="12"/>
  <c r="P317" i="12"/>
  <c r="AY317" i="12" s="1"/>
  <c r="O317" i="12"/>
  <c r="N317" i="12"/>
  <c r="AP317" i="12" s="1"/>
  <c r="M317" i="12"/>
  <c r="BB317" i="12" s="1"/>
  <c r="AY372" i="12"/>
  <c r="AQ372" i="12"/>
  <c r="AP372" i="12"/>
  <c r="G372" i="12"/>
  <c r="AY468" i="12"/>
  <c r="AQ468" i="12"/>
  <c r="AP468" i="12"/>
  <c r="AQ371" i="12"/>
  <c r="AP371" i="12"/>
  <c r="G371" i="12"/>
  <c r="AQ316" i="12"/>
  <c r="T316" i="12"/>
  <c r="N316" i="12"/>
  <c r="AP316" i="12" s="1"/>
  <c r="G316" i="12"/>
  <c r="AY315" i="12"/>
  <c r="AQ315" i="12"/>
  <c r="M315" i="12"/>
  <c r="N315" i="12" s="1"/>
  <c r="AP315" i="12" s="1"/>
  <c r="G315" i="12"/>
  <c r="V314" i="12"/>
  <c r="Q314" i="12"/>
  <c r="O314" i="12"/>
  <c r="AQ314" i="12" s="1"/>
  <c r="N314" i="12"/>
  <c r="M314" i="12"/>
  <c r="G314" i="12"/>
  <c r="AY368" i="12"/>
  <c r="AQ368" i="12"/>
  <c r="AP368" i="12"/>
  <c r="G368" i="12"/>
  <c r="G370" i="12"/>
  <c r="G367" i="12"/>
  <c r="AQ367" i="12" s="1"/>
  <c r="G369" i="12"/>
  <c r="AP369" i="12" s="1"/>
  <c r="U313" i="12"/>
  <c r="M313" i="12"/>
  <c r="BB313" i="12" s="1"/>
  <c r="G313" i="12"/>
  <c r="AP313" i="12" s="1"/>
  <c r="G366" i="12"/>
  <c r="N312" i="12"/>
  <c r="M312" i="12"/>
  <c r="O312" i="12" s="1"/>
  <c r="G312" i="12"/>
  <c r="T310" i="12"/>
  <c r="N310" i="12"/>
  <c r="M310" i="12"/>
  <c r="O310" i="12" s="1"/>
  <c r="G310" i="12"/>
  <c r="O305" i="12"/>
  <c r="N305" i="12"/>
  <c r="M305" i="12"/>
  <c r="G305" i="12"/>
  <c r="AT305" i="12" s="1"/>
  <c r="T311" i="12"/>
  <c r="N311" i="12"/>
  <c r="M311" i="12"/>
  <c r="O311" i="12" s="1"/>
  <c r="G311" i="12"/>
  <c r="O303" i="12"/>
  <c r="G303" i="12"/>
  <c r="AP303" i="12" s="1"/>
  <c r="O302" i="12"/>
  <c r="G302" i="12"/>
  <c r="O306" i="12"/>
  <c r="G306" i="12"/>
  <c r="AQ306" i="12" s="1"/>
  <c r="N301" i="12"/>
  <c r="G301" i="12"/>
  <c r="AQ301" i="12" s="1"/>
  <c r="N304" i="12"/>
  <c r="G304" i="12"/>
  <c r="N300" i="12"/>
  <c r="G300" i="12"/>
  <c r="AP300" i="12" s="1"/>
  <c r="N308" i="12"/>
  <c r="O308" i="12" s="1"/>
  <c r="G308" i="12"/>
  <c r="M309" i="12"/>
  <c r="O309" i="12" s="1"/>
  <c r="G309" i="12"/>
  <c r="AM309" i="12" s="1"/>
  <c r="G365" i="12"/>
  <c r="AP365" i="12" s="1"/>
  <c r="P307" i="12"/>
  <c r="N307" i="12"/>
  <c r="M307" i="12"/>
  <c r="BB307" i="12" s="1"/>
  <c r="G307" i="12"/>
  <c r="N297" i="12"/>
  <c r="O297" i="12" s="1"/>
  <c r="G297" i="12"/>
  <c r="N298" i="12"/>
  <c r="M298" i="12"/>
  <c r="BB298" i="12" s="1"/>
  <c r="G298" i="12"/>
  <c r="AZ299" i="12"/>
  <c r="AP299" i="12"/>
  <c r="AN299" i="12"/>
  <c r="U299" i="12"/>
  <c r="T299" i="12"/>
  <c r="AL299" i="12" s="1"/>
  <c r="M299" i="12"/>
  <c r="O299" i="12" s="1"/>
  <c r="G299" i="12"/>
  <c r="W296" i="12"/>
  <c r="P296" i="12"/>
  <c r="O296" i="12"/>
  <c r="N296" i="12"/>
  <c r="M296" i="12"/>
  <c r="G296" i="12"/>
  <c r="G461" i="12"/>
  <c r="G460" i="12"/>
  <c r="AZ460" i="12" s="1"/>
  <c r="T295" i="12"/>
  <c r="M295" i="12"/>
  <c r="N295" i="12" s="1"/>
  <c r="BB295" i="12" s="1"/>
  <c r="G295" i="12"/>
  <c r="G467" i="12"/>
  <c r="U466" i="12"/>
  <c r="N466" i="12"/>
  <c r="G466" i="12"/>
  <c r="AQ294" i="12"/>
  <c r="AP294" i="12"/>
  <c r="V294" i="12"/>
  <c r="P294" i="12"/>
  <c r="G294" i="12"/>
  <c r="AY459" i="12"/>
  <c r="AQ459" i="12"/>
  <c r="T459" i="12"/>
  <c r="N459" i="12"/>
  <c r="G459" i="12"/>
  <c r="AP465" i="12"/>
  <c r="U465" i="12"/>
  <c r="O465" i="12"/>
  <c r="G465" i="12"/>
  <c r="AQ458" i="12"/>
  <c r="T458" i="12"/>
  <c r="N458" i="12"/>
  <c r="G458" i="12"/>
  <c r="AP457" i="12"/>
  <c r="U457" i="12"/>
  <c r="O457" i="12"/>
  <c r="G457" i="12"/>
  <c r="AY464" i="12"/>
  <c r="AP464" i="12"/>
  <c r="U464" i="12"/>
  <c r="O464" i="12"/>
  <c r="G464" i="12"/>
  <c r="AQ456" i="12"/>
  <c r="T456" i="12"/>
  <c r="N456" i="12"/>
  <c r="G456" i="12"/>
  <c r="U463" i="12"/>
  <c r="O463" i="12"/>
  <c r="G463" i="12"/>
  <c r="U462" i="12"/>
  <c r="O462" i="12"/>
  <c r="N462" i="12"/>
  <c r="G462" i="12"/>
  <c r="T453" i="12"/>
  <c r="N453" i="12"/>
  <c r="G453" i="12"/>
  <c r="G455" i="12"/>
  <c r="AY455" i="12" s="1"/>
  <c r="U454" i="12"/>
  <c r="O454" i="12"/>
  <c r="G454" i="12"/>
  <c r="U285" i="12"/>
  <c r="O285" i="12"/>
  <c r="G285" i="12"/>
  <c r="T452" i="12"/>
  <c r="N452" i="12"/>
  <c r="G452" i="12"/>
  <c r="AT452" i="12" s="1"/>
  <c r="T451" i="12"/>
  <c r="N451" i="12"/>
  <c r="G451" i="12"/>
  <c r="AT451" i="12" s="1"/>
  <c r="T286" i="12"/>
  <c r="M286" i="12"/>
  <c r="BB286" i="12" s="1"/>
  <c r="G286" i="12"/>
  <c r="AT286" i="12" s="1"/>
  <c r="T287" i="12"/>
  <c r="N287" i="12"/>
  <c r="G287" i="12"/>
  <c r="G450" i="12"/>
  <c r="AQ450" i="12" s="1"/>
  <c r="G449" i="12"/>
  <c r="AM449" i="12" s="1"/>
  <c r="V291" i="12"/>
  <c r="O291" i="12"/>
  <c r="N291" i="12"/>
  <c r="G291" i="12"/>
  <c r="T448" i="12"/>
  <c r="N448" i="12"/>
  <c r="G448" i="12"/>
  <c r="AR448" i="12" s="1"/>
  <c r="T447" i="12"/>
  <c r="N447" i="12"/>
  <c r="G447" i="12"/>
  <c r="T288" i="12"/>
  <c r="N288" i="12"/>
  <c r="BB288" i="12" s="1"/>
  <c r="G288" i="12"/>
  <c r="AP288" i="12" s="1"/>
  <c r="T446" i="12"/>
  <c r="N446" i="12"/>
  <c r="G446" i="12"/>
  <c r="AP446" i="12" s="1"/>
  <c r="T445" i="12"/>
  <c r="N445" i="12"/>
  <c r="G445" i="12"/>
  <c r="T444" i="12"/>
  <c r="N444" i="12"/>
  <c r="G444" i="12"/>
  <c r="T443" i="12"/>
  <c r="N443" i="12"/>
  <c r="G443" i="12"/>
  <c r="T442" i="12"/>
  <c r="N442" i="12"/>
  <c r="G442" i="12"/>
  <c r="T441" i="12"/>
  <c r="N441" i="12"/>
  <c r="G441" i="12"/>
  <c r="T440" i="12"/>
  <c r="M440" i="12"/>
  <c r="N440" i="12" s="1"/>
  <c r="G440" i="12"/>
  <c r="U293" i="12"/>
  <c r="T293" i="12"/>
  <c r="N293" i="12"/>
  <c r="O293" i="12" s="1"/>
  <c r="G293" i="12"/>
  <c r="AO293" i="12" s="1"/>
  <c r="U290" i="12"/>
  <c r="T290" i="12"/>
  <c r="O290" i="12"/>
  <c r="G290" i="12"/>
  <c r="U289" i="12"/>
  <c r="T289" i="12"/>
  <c r="O289" i="12"/>
  <c r="N289" i="12"/>
  <c r="G289" i="12"/>
  <c r="AY276" i="12"/>
  <c r="AP276" i="12"/>
  <c r="U276" i="12"/>
  <c r="AQ276" i="12" s="1"/>
  <c r="T276" i="12"/>
  <c r="G276" i="12"/>
  <c r="U284" i="12"/>
  <c r="T284" i="12"/>
  <c r="P284" i="12"/>
  <c r="AY284" i="12" s="1"/>
  <c r="N284" i="12"/>
  <c r="G284" i="12"/>
  <c r="X282" i="12"/>
  <c r="U282" i="12"/>
  <c r="T282" i="12"/>
  <c r="Q282" i="12"/>
  <c r="P282" i="12"/>
  <c r="O282" i="12"/>
  <c r="AQ282" i="12" s="1"/>
  <c r="N282" i="12"/>
  <c r="AP282" i="12" s="1"/>
  <c r="M282" i="12"/>
  <c r="AY279" i="12"/>
  <c r="U279" i="12"/>
  <c r="T279" i="12"/>
  <c r="O279" i="12"/>
  <c r="N279" i="12"/>
  <c r="G279" i="12"/>
  <c r="T281" i="12"/>
  <c r="N281" i="12"/>
  <c r="O281" i="12" s="1"/>
  <c r="AQ281" i="12" s="1"/>
  <c r="G281" i="12"/>
  <c r="U278" i="12"/>
  <c r="T278" i="12"/>
  <c r="P278" i="12"/>
  <c r="N278" i="12"/>
  <c r="G278" i="12"/>
  <c r="AY280" i="12"/>
  <c r="U280" i="12"/>
  <c r="T280" i="12"/>
  <c r="AP280" i="12" s="1"/>
  <c r="O280" i="12"/>
  <c r="G280" i="12"/>
  <c r="U283" i="12"/>
  <c r="T283" i="12"/>
  <c r="N283" i="12"/>
  <c r="O283" i="12" s="1"/>
  <c r="G283" i="12"/>
  <c r="U277" i="12"/>
  <c r="T277" i="12"/>
  <c r="N277" i="12"/>
  <c r="O277" i="12" s="1"/>
  <c r="G277" i="12"/>
  <c r="T261" i="12"/>
  <c r="N261" i="12"/>
  <c r="G261" i="12"/>
  <c r="AP275" i="12"/>
  <c r="V275" i="12"/>
  <c r="U275" i="12"/>
  <c r="O275" i="12"/>
  <c r="M275" i="12"/>
  <c r="V260" i="12"/>
  <c r="M260" i="12"/>
  <c r="P260" i="12" s="1"/>
  <c r="G260" i="12"/>
  <c r="T263" i="12"/>
  <c r="Q263" i="12"/>
  <c r="P263" i="12"/>
  <c r="M263" i="12"/>
  <c r="G263" i="12"/>
  <c r="T271" i="12"/>
  <c r="Q271" i="12"/>
  <c r="P271" i="12"/>
  <c r="M271" i="12"/>
  <c r="G271" i="12"/>
  <c r="AT271" i="12" s="1"/>
  <c r="T270" i="12"/>
  <c r="Q270" i="12"/>
  <c r="P270" i="12"/>
  <c r="M270" i="12"/>
  <c r="G270" i="12"/>
  <c r="AT270" i="12" s="1"/>
  <c r="T269" i="12"/>
  <c r="Q269" i="12"/>
  <c r="P269" i="12"/>
  <c r="M269" i="12"/>
  <c r="G269" i="12"/>
  <c r="AQ269" i="12" s="1"/>
  <c r="T268" i="12"/>
  <c r="Q268" i="12"/>
  <c r="P268" i="12"/>
  <c r="M268" i="12"/>
  <c r="G268" i="12"/>
  <c r="T267" i="12"/>
  <c r="Q267" i="12"/>
  <c r="P267" i="12"/>
  <c r="M267" i="12"/>
  <c r="G267" i="12"/>
  <c r="T266" i="12"/>
  <c r="Q266" i="12"/>
  <c r="P266" i="12"/>
  <c r="M266" i="12"/>
  <c r="G266" i="12"/>
  <c r="AN266" i="12" s="1"/>
  <c r="T265" i="12"/>
  <c r="Q265" i="12"/>
  <c r="P265" i="12"/>
  <c r="M265" i="12"/>
  <c r="G265" i="12"/>
  <c r="AP265" i="12" s="1"/>
  <c r="T264" i="12"/>
  <c r="Q264" i="12"/>
  <c r="P264" i="12"/>
  <c r="M264" i="12"/>
  <c r="G264" i="12"/>
  <c r="AP264" i="12" s="1"/>
  <c r="U262" i="12"/>
  <c r="T262" i="12"/>
  <c r="AM262" i="12" s="1"/>
  <c r="O262" i="12"/>
  <c r="M262" i="12"/>
  <c r="T273" i="12"/>
  <c r="P273" i="12"/>
  <c r="M273" i="12"/>
  <c r="BB273" i="12" s="1"/>
  <c r="G273" i="12"/>
  <c r="T274" i="12"/>
  <c r="P274" i="12"/>
  <c r="M274" i="12"/>
  <c r="BB274" i="12" s="1"/>
  <c r="G274" i="12"/>
  <c r="AR274" i="12" s="1"/>
  <c r="G439" i="12"/>
  <c r="AP439" i="12" s="1"/>
  <c r="G364" i="12"/>
  <c r="T272" i="12"/>
  <c r="P272" i="12"/>
  <c r="M272" i="12"/>
  <c r="BB272" i="12" s="1"/>
  <c r="G272" i="12"/>
  <c r="U256" i="12"/>
  <c r="M256" i="12"/>
  <c r="BB256" i="12" s="1"/>
  <c r="AZ258" i="12"/>
  <c r="AP258" i="12"/>
  <c r="AN258" i="12"/>
  <c r="U258" i="12"/>
  <c r="N258" i="12"/>
  <c r="AL258" i="12" s="1"/>
  <c r="U257" i="12"/>
  <c r="N257" i="12"/>
  <c r="O257" i="12" s="1"/>
  <c r="U259" i="12"/>
  <c r="T259" i="12"/>
  <c r="O259" i="12"/>
  <c r="N259" i="12" s="1"/>
  <c r="T253" i="12"/>
  <c r="N253" i="12"/>
  <c r="M253" i="12"/>
  <c r="BB253" i="12" s="1"/>
  <c r="G253" i="12"/>
  <c r="AN253" i="12" s="1"/>
  <c r="G251" i="12"/>
  <c r="T252" i="12"/>
  <c r="N252" i="12"/>
  <c r="G252" i="12"/>
  <c r="AY254" i="12"/>
  <c r="AQ254" i="12"/>
  <c r="T254" i="12"/>
  <c r="N254" i="12"/>
  <c r="G254" i="12"/>
  <c r="AY255" i="12"/>
  <c r="AQ255" i="12"/>
  <c r="N255" i="12"/>
  <c r="AP255" i="12" s="1"/>
  <c r="G255" i="12"/>
  <c r="AQ244" i="12"/>
  <c r="T244" i="12"/>
  <c r="AP244" i="12" s="1"/>
  <c r="G244" i="12"/>
  <c r="AY248" i="12"/>
  <c r="AQ248" i="12"/>
  <c r="T248" i="12"/>
  <c r="AP248" i="12" s="1"/>
  <c r="G248" i="12"/>
  <c r="AQ249" i="12"/>
  <c r="T249" i="12"/>
  <c r="N249" i="12"/>
  <c r="G249" i="12"/>
  <c r="AY243" i="12"/>
  <c r="AQ243" i="12"/>
  <c r="T243" i="12"/>
  <c r="AP243" i="12" s="1"/>
  <c r="G243" i="12"/>
  <c r="T247" i="12"/>
  <c r="G247" i="12"/>
  <c r="T241" i="12"/>
  <c r="N241" i="12"/>
  <c r="M241" i="12"/>
  <c r="BB241" i="12" s="1"/>
  <c r="H241" i="12"/>
  <c r="G241" i="12" s="1"/>
  <c r="AT250" i="12"/>
  <c r="AP250" i="12"/>
  <c r="U250" i="12"/>
  <c r="O250" i="12"/>
  <c r="U245" i="12"/>
  <c r="N245" i="12"/>
  <c r="O245" i="12" s="1"/>
  <c r="T242" i="12"/>
  <c r="G242" i="12"/>
  <c r="T246" i="12"/>
  <c r="G246" i="12"/>
  <c r="AN246" i="12" s="1"/>
  <c r="G436" i="12"/>
  <c r="V240" i="12"/>
  <c r="O240" i="12"/>
  <c r="N240" i="12"/>
  <c r="M240" i="12"/>
  <c r="G240" i="12"/>
  <c r="G438" i="12"/>
  <c r="AP438" i="12" s="1"/>
  <c r="G437" i="12"/>
  <c r="O430" i="12"/>
  <c r="M430" i="12"/>
  <c r="G430" i="12"/>
  <c r="AR430" i="12" s="1"/>
  <c r="O429" i="12"/>
  <c r="M429" i="12"/>
  <c r="G429" i="12"/>
  <c r="AR429" i="12" s="1"/>
  <c r="U233" i="12"/>
  <c r="Q233" i="12"/>
  <c r="P233" i="12"/>
  <c r="O233" i="12"/>
  <c r="N233" i="12"/>
  <c r="M233" i="12"/>
  <c r="M435" i="12"/>
  <c r="N435" i="12" s="1"/>
  <c r="G435" i="12"/>
  <c r="AZ428" i="12"/>
  <c r="AP428" i="12"/>
  <c r="AN428" i="12"/>
  <c r="U428" i="12"/>
  <c r="N428" i="12"/>
  <c r="AL428" i="12" s="1"/>
  <c r="M428" i="12"/>
  <c r="G428" i="12"/>
  <c r="N427" i="12"/>
  <c r="M427" i="12"/>
  <c r="G427" i="12"/>
  <c r="T236" i="12"/>
  <c r="P236" i="12"/>
  <c r="N236" i="12"/>
  <c r="M236" i="12"/>
  <c r="BB236" i="12" s="1"/>
  <c r="M434" i="12"/>
  <c r="N434" i="12" s="1"/>
  <c r="G434" i="12"/>
  <c r="AO434" i="12" s="1"/>
  <c r="M426" i="12"/>
  <c r="O426" i="12" s="1"/>
  <c r="G426" i="12"/>
  <c r="N425" i="12"/>
  <c r="O425" i="12" s="1"/>
  <c r="G425" i="12"/>
  <c r="U237" i="12"/>
  <c r="P237" i="12"/>
  <c r="N237" i="12"/>
  <c r="AP237" i="12" s="1"/>
  <c r="M237" i="12"/>
  <c r="BB237" i="12" s="1"/>
  <c r="AY433" i="12"/>
  <c r="AQ433" i="12"/>
  <c r="M433" i="12"/>
  <c r="N433" i="12" s="1"/>
  <c r="AP433" i="12" s="1"/>
  <c r="G433" i="12"/>
  <c r="AY424" i="12"/>
  <c r="U424" i="12"/>
  <c r="N424" i="12"/>
  <c r="M424" i="12"/>
  <c r="G424" i="12"/>
  <c r="N423" i="12"/>
  <c r="AP423" i="12" s="1"/>
  <c r="M423" i="12"/>
  <c r="G423" i="12"/>
  <c r="T239" i="12"/>
  <c r="P239" i="12"/>
  <c r="AY239" i="12" s="1"/>
  <c r="O239" i="12"/>
  <c r="AQ239" i="12" s="1"/>
  <c r="N239" i="12"/>
  <c r="M239" i="12"/>
  <c r="AQ432" i="12"/>
  <c r="M432" i="12"/>
  <c r="N432" i="12" s="1"/>
  <c r="AP432" i="12" s="1"/>
  <c r="G432" i="12"/>
  <c r="U422" i="12"/>
  <c r="N422" i="12"/>
  <c r="AP422" i="12" s="1"/>
  <c r="M422" i="12"/>
  <c r="G422" i="12"/>
  <c r="AY421" i="12"/>
  <c r="AP421" i="12"/>
  <c r="M421" i="12"/>
  <c r="O421" i="12" s="1"/>
  <c r="AQ421" i="12" s="1"/>
  <c r="G421" i="12"/>
  <c r="T234" i="12"/>
  <c r="N234" i="12"/>
  <c r="M234" i="12"/>
  <c r="M431" i="12"/>
  <c r="G431" i="12"/>
  <c r="U420" i="12"/>
  <c r="N420" i="12"/>
  <c r="M420" i="12"/>
  <c r="G420" i="12"/>
  <c r="M419" i="12"/>
  <c r="O419" i="12" s="1"/>
  <c r="G419" i="12"/>
  <c r="AQ235" i="12"/>
  <c r="T235" i="12"/>
  <c r="M235" i="12"/>
  <c r="N235" i="12" s="1"/>
  <c r="M418" i="12"/>
  <c r="O418" i="12" s="1"/>
  <c r="G418" i="12"/>
  <c r="AP418" i="12" s="1"/>
  <c r="U417" i="12"/>
  <c r="M417" i="12"/>
  <c r="O417" i="12" s="1"/>
  <c r="G417" i="12"/>
  <c r="AP417" i="12" s="1"/>
  <c r="G416" i="12"/>
  <c r="AS416" i="12" s="1"/>
  <c r="T238" i="12"/>
  <c r="P238" i="12"/>
  <c r="N238" i="12"/>
  <c r="M238" i="12"/>
  <c r="BB238" i="12" s="1"/>
  <c r="U232" i="12"/>
  <c r="N232" i="12"/>
  <c r="M232" i="12"/>
  <c r="G232" i="12"/>
  <c r="U231" i="12"/>
  <c r="N231" i="12"/>
  <c r="M231" i="12"/>
  <c r="G231" i="12"/>
  <c r="U230" i="12"/>
  <c r="T230" i="12"/>
  <c r="M230" i="12"/>
  <c r="N230" i="12" s="1"/>
  <c r="G230" i="12"/>
  <c r="U227" i="12"/>
  <c r="T227" i="12"/>
  <c r="M227" i="12"/>
  <c r="N227" i="12" s="1"/>
  <c r="G227" i="12"/>
  <c r="U229" i="12"/>
  <c r="T229" i="12"/>
  <c r="M229" i="12"/>
  <c r="N229" i="12" s="1"/>
  <c r="BB229" i="12" s="1"/>
  <c r="G229" i="12"/>
  <c r="AR229" i="12" s="1"/>
  <c r="U228" i="12"/>
  <c r="T228" i="12"/>
  <c r="M228" i="12"/>
  <c r="N228" i="12" s="1"/>
  <c r="G228" i="12"/>
  <c r="G363" i="12"/>
  <c r="AR363" i="12" s="1"/>
  <c r="U199" i="12"/>
  <c r="P199" i="12"/>
  <c r="N199" i="12"/>
  <c r="G199" i="12"/>
  <c r="AZ414" i="12"/>
  <c r="AO414" i="12"/>
  <c r="AN414" i="12"/>
  <c r="AL414" i="12"/>
  <c r="G415" i="12"/>
  <c r="T206" i="12"/>
  <c r="M206" i="12"/>
  <c r="N206" i="12" s="1"/>
  <c r="BB206" i="12" s="1"/>
  <c r="G206" i="12"/>
  <c r="V226" i="12"/>
  <c r="R226" i="12"/>
  <c r="Q226" i="12"/>
  <c r="O226" i="12"/>
  <c r="N226" i="12"/>
  <c r="M226" i="12"/>
  <c r="G226" i="12"/>
  <c r="G362" i="12"/>
  <c r="G360" i="12"/>
  <c r="U198" i="12"/>
  <c r="P198" i="12"/>
  <c r="N198" i="12"/>
  <c r="G198" i="12"/>
  <c r="AZ198" i="12" s="1"/>
  <c r="G396" i="12"/>
  <c r="G358" i="12"/>
  <c r="AY391" i="12"/>
  <c r="AQ391" i="12"/>
  <c r="AP391" i="12"/>
  <c r="G391" i="12"/>
  <c r="W218" i="12"/>
  <c r="T218" i="12"/>
  <c r="R218" i="12"/>
  <c r="BB218" i="12" s="1"/>
  <c r="P218" i="12"/>
  <c r="AY218" i="12" s="1"/>
  <c r="O218" i="12"/>
  <c r="AQ218" i="12" s="1"/>
  <c r="N218" i="12"/>
  <c r="AP218" i="12" s="1"/>
  <c r="AY205" i="12"/>
  <c r="AQ205" i="12"/>
  <c r="T205" i="12"/>
  <c r="M205" i="12"/>
  <c r="N205" i="12" s="1"/>
  <c r="BB205" i="12" s="1"/>
  <c r="G205" i="12"/>
  <c r="V225" i="12"/>
  <c r="R225" i="12"/>
  <c r="Q225" i="12"/>
  <c r="O225" i="12"/>
  <c r="AQ225" i="12" s="1"/>
  <c r="N225" i="12"/>
  <c r="AP225" i="12" s="1"/>
  <c r="M225" i="12"/>
  <c r="G225" i="12"/>
  <c r="AY408" i="12"/>
  <c r="AQ408" i="12"/>
  <c r="AP408" i="12"/>
  <c r="G408" i="12"/>
  <c r="AQ402" i="12"/>
  <c r="AP402" i="12"/>
  <c r="G402" i="12"/>
  <c r="U197" i="12"/>
  <c r="P197" i="12"/>
  <c r="N197" i="12"/>
  <c r="AP197" i="12" s="1"/>
  <c r="G197" i="12"/>
  <c r="V212" i="12"/>
  <c r="T212" i="12"/>
  <c r="AP212" i="12" s="1"/>
  <c r="Q212" i="12"/>
  <c r="BB212" i="12" s="1"/>
  <c r="O212" i="12"/>
  <c r="G212" i="12"/>
  <c r="AQ411" i="12"/>
  <c r="AP411" i="12"/>
  <c r="G411" i="12"/>
  <c r="G390" i="12"/>
  <c r="T204" i="12"/>
  <c r="M204" i="12"/>
  <c r="N204" i="12" s="1"/>
  <c r="BB204" i="12" s="1"/>
  <c r="G204" i="12"/>
  <c r="V224" i="12"/>
  <c r="R224" i="12"/>
  <c r="Q224" i="12"/>
  <c r="O224" i="12"/>
  <c r="N224" i="12"/>
  <c r="M224" i="12"/>
  <c r="G224" i="12"/>
  <c r="G407" i="12"/>
  <c r="AQ407" i="12" s="1"/>
  <c r="G401" i="12"/>
  <c r="U196" i="12"/>
  <c r="P196" i="12"/>
  <c r="N196" i="12"/>
  <c r="G196" i="12"/>
  <c r="G395" i="12"/>
  <c r="G413" i="12"/>
  <c r="G389" i="12"/>
  <c r="AQ389" i="12" s="1"/>
  <c r="W215" i="12"/>
  <c r="T215" i="12"/>
  <c r="R215" i="12"/>
  <c r="BB215" i="12" s="1"/>
  <c r="P215" i="12"/>
  <c r="O215" i="12"/>
  <c r="AP215" i="12" s="1"/>
  <c r="N215" i="12"/>
  <c r="T208" i="12"/>
  <c r="O208" i="12"/>
  <c r="M208" i="12"/>
  <c r="G208" i="12"/>
  <c r="N201" i="12"/>
  <c r="G201" i="12"/>
  <c r="V223" i="12"/>
  <c r="R223" i="12"/>
  <c r="Q223" i="12"/>
  <c r="O223" i="12"/>
  <c r="N223" i="12"/>
  <c r="M223" i="12"/>
  <c r="G223" i="12"/>
  <c r="AP361" i="12"/>
  <c r="G361" i="12"/>
  <c r="AR361" i="12" s="1"/>
  <c r="G359" i="12"/>
  <c r="U195" i="12"/>
  <c r="P195" i="12"/>
  <c r="N195" i="12"/>
  <c r="G195" i="12"/>
  <c r="G388" i="12"/>
  <c r="W217" i="12"/>
  <c r="T217" i="12"/>
  <c r="R217" i="12"/>
  <c r="BB217" i="12" s="1"/>
  <c r="P217" i="12"/>
  <c r="O217" i="12"/>
  <c r="N217" i="12"/>
  <c r="AZ207" i="12"/>
  <c r="U207" i="12"/>
  <c r="Q207" i="12"/>
  <c r="AP207" i="12" s="1"/>
  <c r="P207" i="12"/>
  <c r="AN207" i="12" s="1"/>
  <c r="N207" i="12"/>
  <c r="AL207" i="12" s="1"/>
  <c r="G207" i="12"/>
  <c r="T190" i="12"/>
  <c r="N190" i="12"/>
  <c r="G190" i="12"/>
  <c r="V222" i="12"/>
  <c r="R222" i="12"/>
  <c r="Q222" i="12"/>
  <c r="O222" i="12"/>
  <c r="N222" i="12"/>
  <c r="M222" i="12"/>
  <c r="G222" i="12"/>
  <c r="G406" i="12"/>
  <c r="AM406" i="12" s="1"/>
  <c r="G400" i="12"/>
  <c r="U194" i="12"/>
  <c r="P194" i="12"/>
  <c r="N194" i="12"/>
  <c r="G194" i="12"/>
  <c r="V210" i="12"/>
  <c r="T210" i="12"/>
  <c r="Q210" i="12"/>
  <c r="BB210" i="12" s="1"/>
  <c r="O210" i="12"/>
  <c r="G210" i="12"/>
  <c r="G410" i="12"/>
  <c r="AM410" i="12" s="1"/>
  <c r="G387" i="12"/>
  <c r="AM387" i="12" s="1"/>
  <c r="AS382" i="12"/>
  <c r="AP382" i="12"/>
  <c r="T209" i="12"/>
  <c r="O209" i="12"/>
  <c r="N209" i="12" s="1"/>
  <c r="G209" i="12"/>
  <c r="AP209" i="12" s="1"/>
  <c r="N200" i="12"/>
  <c r="G200" i="12"/>
  <c r="AP200" i="12" s="1"/>
  <c r="V221" i="12"/>
  <c r="R221" i="12"/>
  <c r="Q221" i="12"/>
  <c r="O221" i="12"/>
  <c r="N221" i="12"/>
  <c r="M221" i="12"/>
  <c r="G221" i="12"/>
  <c r="G405" i="12"/>
  <c r="AP405" i="12" s="1"/>
  <c r="G399" i="12"/>
  <c r="U193" i="12"/>
  <c r="P193" i="12"/>
  <c r="N193" i="12"/>
  <c r="G193" i="12"/>
  <c r="G394" i="12"/>
  <c r="AP394" i="12" s="1"/>
  <c r="AP393" i="12"/>
  <c r="AM393" i="12"/>
  <c r="AL393" i="12"/>
  <c r="G393" i="12"/>
  <c r="G386" i="12"/>
  <c r="W214" i="12"/>
  <c r="T214" i="12"/>
  <c r="R214" i="12"/>
  <c r="BB214" i="12" s="1"/>
  <c r="P214" i="12"/>
  <c r="O214" i="12"/>
  <c r="AT214" i="12" s="1"/>
  <c r="N214" i="12"/>
  <c r="W216" i="12"/>
  <c r="T216" i="12"/>
  <c r="R216" i="12"/>
  <c r="P216" i="12"/>
  <c r="O216" i="12"/>
  <c r="N216" i="12"/>
  <c r="AQ216" i="12" s="1"/>
  <c r="T203" i="12"/>
  <c r="M203" i="12"/>
  <c r="N203" i="12" s="1"/>
  <c r="BB203" i="12" s="1"/>
  <c r="G203" i="12"/>
  <c r="AQ203" i="12" s="1"/>
  <c r="V220" i="12"/>
  <c r="R220" i="12"/>
  <c r="Q220" i="12"/>
  <c r="O220" i="12"/>
  <c r="N220" i="12"/>
  <c r="M220" i="12"/>
  <c r="G220" i="12"/>
  <c r="G404" i="12"/>
  <c r="AM404" i="12" s="1"/>
  <c r="G398" i="12"/>
  <c r="AQ398" i="12" s="1"/>
  <c r="U192" i="12"/>
  <c r="P192" i="12"/>
  <c r="N192" i="12"/>
  <c r="G192" i="12"/>
  <c r="V211" i="12"/>
  <c r="T211" i="12"/>
  <c r="Q211" i="12"/>
  <c r="BB211" i="12" s="1"/>
  <c r="O211" i="12"/>
  <c r="G211" i="12"/>
  <c r="G409" i="12"/>
  <c r="AP409" i="12" s="1"/>
  <c r="G385" i="12"/>
  <c r="T202" i="12"/>
  <c r="M202" i="12"/>
  <c r="N202" i="12" s="1"/>
  <c r="BB202" i="12" s="1"/>
  <c r="G202" i="12"/>
  <c r="V219" i="12"/>
  <c r="R219" i="12"/>
  <c r="Q219" i="12"/>
  <c r="O219" i="12"/>
  <c r="N219" i="12"/>
  <c r="M219" i="12"/>
  <c r="G219" i="12"/>
  <c r="G403" i="12"/>
  <c r="AM403" i="12" s="1"/>
  <c r="G397" i="12"/>
  <c r="AP397" i="12" s="1"/>
  <c r="AP191" i="12"/>
  <c r="U191" i="12"/>
  <c r="P191" i="12"/>
  <c r="AN191" i="12" s="1"/>
  <c r="N191" i="12"/>
  <c r="O191" i="12" s="1"/>
  <c r="AM191" i="12" s="1"/>
  <c r="G191" i="12"/>
  <c r="G392" i="12"/>
  <c r="G412" i="12"/>
  <c r="G384" i="12"/>
  <c r="AM384" i="12" s="1"/>
  <c r="W213" i="12"/>
  <c r="T213" i="12"/>
  <c r="R213" i="12"/>
  <c r="BB213" i="12" s="1"/>
  <c r="Q213" i="12"/>
  <c r="P213" i="12"/>
  <c r="O213" i="12"/>
  <c r="N213" i="12"/>
  <c r="O186" i="12"/>
  <c r="N186" i="12"/>
  <c r="M186" i="12"/>
  <c r="BB186" i="12" s="1"/>
  <c r="G186" i="12"/>
  <c r="N185" i="12"/>
  <c r="M185" i="12"/>
  <c r="BB185" i="12" s="1"/>
  <c r="G185" i="12"/>
  <c r="V168" i="12"/>
  <c r="O168" i="12"/>
  <c r="P168" i="12" s="1"/>
  <c r="N168" i="12"/>
  <c r="G168" i="12"/>
  <c r="P180" i="12"/>
  <c r="O180" i="12"/>
  <c r="BB180" i="12" s="1"/>
  <c r="N180" i="12"/>
  <c r="M180" i="12"/>
  <c r="G180" i="12"/>
  <c r="N189" i="12"/>
  <c r="AP189" i="12" s="1"/>
  <c r="G189" i="12"/>
  <c r="AR189" i="12" s="1"/>
  <c r="V165" i="12"/>
  <c r="O165" i="12"/>
  <c r="N165" i="12"/>
  <c r="BB165" i="12" s="1"/>
  <c r="G165" i="12"/>
  <c r="P179" i="12"/>
  <c r="N179" i="12"/>
  <c r="M179" i="12"/>
  <c r="O179" i="12" s="1"/>
  <c r="BB179" i="12" s="1"/>
  <c r="G179" i="12"/>
  <c r="N183" i="12"/>
  <c r="G183" i="12"/>
  <c r="U171" i="12"/>
  <c r="N171" i="12"/>
  <c r="BB171" i="12" s="1"/>
  <c r="G171" i="12"/>
  <c r="P178" i="12"/>
  <c r="N178" i="12"/>
  <c r="M178" i="12"/>
  <c r="G178" i="12"/>
  <c r="N184" i="12"/>
  <c r="M184" i="12"/>
  <c r="BB184" i="12" s="1"/>
  <c r="G184" i="12"/>
  <c r="AT184" i="12" s="1"/>
  <c r="V167" i="12"/>
  <c r="O167" i="12"/>
  <c r="N167" i="12"/>
  <c r="G167" i="12"/>
  <c r="P177" i="12"/>
  <c r="N177" i="12"/>
  <c r="M177" i="12"/>
  <c r="G177" i="12"/>
  <c r="N188" i="12"/>
  <c r="G188" i="12"/>
  <c r="V164" i="12"/>
  <c r="O164" i="12"/>
  <c r="N164" i="12"/>
  <c r="G164" i="12"/>
  <c r="P176" i="12"/>
  <c r="N176" i="12"/>
  <c r="M176" i="12"/>
  <c r="G176" i="12"/>
  <c r="N182" i="12"/>
  <c r="G182" i="12"/>
  <c r="U170" i="12"/>
  <c r="N170" i="12"/>
  <c r="O170" i="12" s="1"/>
  <c r="G170" i="12"/>
  <c r="P175" i="12"/>
  <c r="N175" i="12"/>
  <c r="M175" i="12"/>
  <c r="G175" i="12"/>
  <c r="V166" i="12"/>
  <c r="O166" i="12"/>
  <c r="N166" i="12"/>
  <c r="G166" i="12"/>
  <c r="P174" i="12"/>
  <c r="N174" i="12"/>
  <c r="M174" i="12"/>
  <c r="G174" i="12"/>
  <c r="N187" i="12"/>
  <c r="G187" i="12"/>
  <c r="AP187" i="12" s="1"/>
  <c r="V163" i="12"/>
  <c r="O163" i="12"/>
  <c r="P163" i="12" s="1"/>
  <c r="N163" i="12"/>
  <c r="G163" i="12"/>
  <c r="P173" i="12"/>
  <c r="N173" i="12"/>
  <c r="M173" i="12"/>
  <c r="G173" i="12"/>
  <c r="N181" i="12"/>
  <c r="G181" i="12"/>
  <c r="AP181" i="12" s="1"/>
  <c r="U169" i="12"/>
  <c r="N169" i="12"/>
  <c r="BB169" i="12" s="1"/>
  <c r="G169" i="12"/>
  <c r="P172" i="12"/>
  <c r="N172" i="12"/>
  <c r="M172" i="12"/>
  <c r="G172" i="12"/>
  <c r="N147" i="12"/>
  <c r="BB147" i="12" s="1"/>
  <c r="M147" i="12"/>
  <c r="G147" i="12"/>
  <c r="AR147" i="12" s="1"/>
  <c r="O152" i="12"/>
  <c r="G152" i="12"/>
  <c r="AL152" i="12" s="1"/>
  <c r="T162" i="12"/>
  <c r="N162" i="12"/>
  <c r="G162" i="12"/>
  <c r="AP162" i="12" s="1"/>
  <c r="N146" i="12"/>
  <c r="BB146" i="12" s="1"/>
  <c r="M146" i="12"/>
  <c r="G146" i="12"/>
  <c r="O151" i="12"/>
  <c r="M151" i="12" s="1"/>
  <c r="G151" i="12"/>
  <c r="AH151" i="12" s="1"/>
  <c r="T158" i="12"/>
  <c r="N158" i="12"/>
  <c r="G158" i="12"/>
  <c r="AR158" i="12" s="1"/>
  <c r="N145" i="12"/>
  <c r="BB145" i="12" s="1"/>
  <c r="M145" i="12"/>
  <c r="G145" i="12"/>
  <c r="AX145" i="12" s="1"/>
  <c r="O150" i="12"/>
  <c r="M150" i="12"/>
  <c r="G150" i="12"/>
  <c r="AR150" i="12" s="1"/>
  <c r="T161" i="12"/>
  <c r="N161" i="12"/>
  <c r="P161" i="12" s="1"/>
  <c r="BB161" i="12" s="1"/>
  <c r="G161" i="12"/>
  <c r="AR161" i="12" s="1"/>
  <c r="M380" i="12"/>
  <c r="N380" i="12" s="1"/>
  <c r="G380" i="12"/>
  <c r="AX380" i="12" s="1"/>
  <c r="M379" i="12"/>
  <c r="N379" i="12" s="1"/>
  <c r="BB379" i="12" s="1"/>
  <c r="G379" i="12"/>
  <c r="AX379" i="12" s="1"/>
  <c r="U156" i="12"/>
  <c r="N156" i="12"/>
  <c r="M156" i="12"/>
  <c r="G156" i="12"/>
  <c r="U154" i="12"/>
  <c r="N154" i="12"/>
  <c r="M154" i="12"/>
  <c r="G154" i="12"/>
  <c r="M378" i="12"/>
  <c r="N378" i="12" s="1"/>
  <c r="G378" i="12"/>
  <c r="AX378" i="12" s="1"/>
  <c r="U155" i="12"/>
  <c r="N155" i="12"/>
  <c r="M155" i="12"/>
  <c r="G155" i="12"/>
  <c r="AL155" i="12" s="1"/>
  <c r="U153" i="12"/>
  <c r="N153" i="12"/>
  <c r="M153" i="12"/>
  <c r="G153" i="12"/>
  <c r="T160" i="12"/>
  <c r="N160" i="12"/>
  <c r="G160" i="12"/>
  <c r="AL160" i="12" s="1"/>
  <c r="N144" i="12"/>
  <c r="BB144" i="12" s="1"/>
  <c r="M144" i="12"/>
  <c r="O144" i="12" s="1"/>
  <c r="G144" i="12"/>
  <c r="O149" i="12"/>
  <c r="M149" i="12" s="1"/>
  <c r="G149" i="12"/>
  <c r="T157" i="12"/>
  <c r="N157" i="12"/>
  <c r="BB157" i="12" s="1"/>
  <c r="G157" i="12"/>
  <c r="AP157" i="12" s="1"/>
  <c r="N143" i="12"/>
  <c r="M143" i="12"/>
  <c r="G143" i="12"/>
  <c r="O148" i="12"/>
  <c r="M148" i="12" s="1"/>
  <c r="G148" i="12"/>
  <c r="T159" i="12"/>
  <c r="N159" i="12"/>
  <c r="P159" i="12" s="1"/>
  <c r="BB159" i="12" s="1"/>
  <c r="G159" i="12"/>
  <c r="AR159" i="12" s="1"/>
  <c r="U142" i="12"/>
  <c r="T142" i="12"/>
  <c r="M142" i="12"/>
  <c r="N142" i="12" s="1"/>
  <c r="BB142" i="12" s="1"/>
  <c r="G142" i="12"/>
  <c r="U105" i="12"/>
  <c r="T105" i="12"/>
  <c r="M105" i="12"/>
  <c r="N105" i="12" s="1"/>
  <c r="BB105" i="12" s="1"/>
  <c r="G105" i="12"/>
  <c r="AR105" i="12" s="1"/>
  <c r="U141" i="12"/>
  <c r="T141" i="12"/>
  <c r="M141" i="12"/>
  <c r="N141" i="12" s="1"/>
  <c r="BB141" i="12" s="1"/>
  <c r="G141" i="12"/>
  <c r="U140" i="12"/>
  <c r="T140" i="12"/>
  <c r="M140" i="12"/>
  <c r="N140" i="12" s="1"/>
  <c r="BB140" i="12" s="1"/>
  <c r="G140" i="12"/>
  <c r="U104" i="12"/>
  <c r="T104" i="12"/>
  <c r="M104" i="12"/>
  <c r="N104" i="12" s="1"/>
  <c r="BB104" i="12" s="1"/>
  <c r="G104" i="12"/>
  <c r="U139" i="12"/>
  <c r="T139" i="12"/>
  <c r="M139" i="12"/>
  <c r="N139" i="12" s="1"/>
  <c r="BB139" i="12" s="1"/>
  <c r="G139" i="12"/>
  <c r="U103" i="12"/>
  <c r="T103" i="12"/>
  <c r="M103" i="12"/>
  <c r="N103" i="12" s="1"/>
  <c r="G103" i="12"/>
  <c r="U102" i="12"/>
  <c r="T102" i="12"/>
  <c r="M102" i="12"/>
  <c r="N102" i="12" s="1"/>
  <c r="G102" i="12"/>
  <c r="U138" i="12"/>
  <c r="T138" i="12"/>
  <c r="M138" i="12"/>
  <c r="N138" i="12" s="1"/>
  <c r="BB138" i="12" s="1"/>
  <c r="G138" i="12"/>
  <c r="U101" i="12"/>
  <c r="T101" i="12"/>
  <c r="M101" i="12"/>
  <c r="N101" i="12" s="1"/>
  <c r="BB101" i="12" s="1"/>
  <c r="G101" i="12"/>
  <c r="U137" i="12"/>
  <c r="T137" i="12"/>
  <c r="M137" i="12"/>
  <c r="N137" i="12" s="1"/>
  <c r="BB137" i="12" s="1"/>
  <c r="G137" i="12"/>
  <c r="U100" i="12"/>
  <c r="T100" i="12"/>
  <c r="M100" i="12"/>
  <c r="N100" i="12" s="1"/>
  <c r="BB100" i="12" s="1"/>
  <c r="G100" i="12"/>
  <c r="U136" i="12"/>
  <c r="T136" i="12"/>
  <c r="M136" i="12"/>
  <c r="N136" i="12" s="1"/>
  <c r="BB136" i="12" s="1"/>
  <c r="G136" i="12"/>
  <c r="AT135" i="12"/>
  <c r="AS135" i="12"/>
  <c r="AP135" i="12"/>
  <c r="U135" i="12"/>
  <c r="AM135" i="12" s="1"/>
  <c r="T135" i="12"/>
  <c r="M135" i="12"/>
  <c r="N135" i="12" s="1"/>
  <c r="BB135" i="12" s="1"/>
  <c r="G135" i="12"/>
  <c r="U99" i="12"/>
  <c r="T99" i="12"/>
  <c r="M99" i="12"/>
  <c r="N99" i="12" s="1"/>
  <c r="BB99" i="12" s="1"/>
  <c r="G99" i="12"/>
  <c r="U134" i="12"/>
  <c r="T134" i="12"/>
  <c r="M134" i="12"/>
  <c r="N134" i="12" s="1"/>
  <c r="BB134" i="12" s="1"/>
  <c r="G134" i="12"/>
  <c r="U98" i="12"/>
  <c r="T98" i="12"/>
  <c r="M98" i="12"/>
  <c r="N98" i="12" s="1"/>
  <c r="G98" i="12"/>
  <c r="U97" i="12"/>
  <c r="T97" i="12"/>
  <c r="M97" i="12"/>
  <c r="N97" i="12" s="1"/>
  <c r="BB97" i="12" s="1"/>
  <c r="G97" i="12"/>
  <c r="U133" i="12"/>
  <c r="T133" i="12"/>
  <c r="M133" i="12"/>
  <c r="N133" i="12" s="1"/>
  <c r="BB133" i="12" s="1"/>
  <c r="G133" i="12"/>
  <c r="U96" i="12"/>
  <c r="T96" i="12"/>
  <c r="M96" i="12"/>
  <c r="N96" i="12" s="1"/>
  <c r="BB96" i="12" s="1"/>
  <c r="G96" i="12"/>
  <c r="U132" i="12"/>
  <c r="T132" i="12"/>
  <c r="M132" i="12"/>
  <c r="N132" i="12" s="1"/>
  <c r="G132" i="12"/>
  <c r="U131" i="12"/>
  <c r="T131" i="12"/>
  <c r="M131" i="12"/>
  <c r="N131" i="12" s="1"/>
  <c r="BB131" i="12" s="1"/>
  <c r="G131" i="12"/>
  <c r="U130" i="12"/>
  <c r="T130" i="12"/>
  <c r="M130" i="12"/>
  <c r="N130" i="12" s="1"/>
  <c r="BB130" i="12" s="1"/>
  <c r="G130" i="12"/>
  <c r="U95" i="12"/>
  <c r="T95" i="12"/>
  <c r="M95" i="12"/>
  <c r="N95" i="12" s="1"/>
  <c r="BB95" i="12" s="1"/>
  <c r="G95" i="12"/>
  <c r="U129" i="12"/>
  <c r="T129" i="12"/>
  <c r="M129" i="12"/>
  <c r="N129" i="12" s="1"/>
  <c r="BB129" i="12" s="1"/>
  <c r="G129" i="12"/>
  <c r="U94" i="12"/>
  <c r="T94" i="12"/>
  <c r="M94" i="12"/>
  <c r="N94" i="12" s="1"/>
  <c r="BB94" i="12" s="1"/>
  <c r="G94" i="12"/>
  <c r="U93" i="12"/>
  <c r="T93" i="12"/>
  <c r="M93" i="12"/>
  <c r="N93" i="12" s="1"/>
  <c r="BB93" i="12" s="1"/>
  <c r="G93" i="12"/>
  <c r="U128" i="12"/>
  <c r="T128" i="12"/>
  <c r="M128" i="12"/>
  <c r="N128" i="12" s="1"/>
  <c r="BB128" i="12" s="1"/>
  <c r="G128" i="12"/>
  <c r="U92" i="12"/>
  <c r="T92" i="12"/>
  <c r="M92" i="12"/>
  <c r="N92" i="12" s="1"/>
  <c r="AL92" i="12" s="1"/>
  <c r="G92" i="12"/>
  <c r="U127" i="12"/>
  <c r="T127" i="12"/>
  <c r="M127" i="12"/>
  <c r="N127" i="12" s="1"/>
  <c r="BB127" i="12" s="1"/>
  <c r="G127" i="12"/>
  <c r="U126" i="12"/>
  <c r="T126" i="12"/>
  <c r="M126" i="12"/>
  <c r="N126" i="12" s="1"/>
  <c r="BB126" i="12" s="1"/>
  <c r="G126" i="12"/>
  <c r="U125" i="12"/>
  <c r="T125" i="12"/>
  <c r="M125" i="12"/>
  <c r="N125" i="12" s="1"/>
  <c r="BB125" i="12" s="1"/>
  <c r="G125" i="12"/>
  <c r="U91" i="12"/>
  <c r="T91" i="12"/>
  <c r="M91" i="12"/>
  <c r="N91" i="12" s="1"/>
  <c r="G91" i="12"/>
  <c r="U90" i="12"/>
  <c r="T90" i="12"/>
  <c r="M90" i="12"/>
  <c r="N90" i="12" s="1"/>
  <c r="BB90" i="12" s="1"/>
  <c r="G90" i="12"/>
  <c r="U89" i="12"/>
  <c r="T89" i="12"/>
  <c r="M89" i="12"/>
  <c r="N89" i="12" s="1"/>
  <c r="BB89" i="12" s="1"/>
  <c r="G89" i="12"/>
  <c r="U124" i="12"/>
  <c r="T124" i="12"/>
  <c r="M124" i="12"/>
  <c r="N124" i="12" s="1"/>
  <c r="BB124" i="12" s="1"/>
  <c r="G124" i="12"/>
  <c r="U123" i="12"/>
  <c r="T123" i="12"/>
  <c r="M123" i="12"/>
  <c r="N123" i="12" s="1"/>
  <c r="BB123" i="12" s="1"/>
  <c r="G123" i="12"/>
  <c r="U88" i="12"/>
  <c r="T88" i="12"/>
  <c r="M88" i="12"/>
  <c r="N88" i="12" s="1"/>
  <c r="BB88" i="12" s="1"/>
  <c r="G88" i="12"/>
  <c r="U87" i="12"/>
  <c r="T87" i="12"/>
  <c r="M87" i="12"/>
  <c r="N87" i="12" s="1"/>
  <c r="G87" i="12"/>
  <c r="U86" i="12"/>
  <c r="T86" i="12"/>
  <c r="M86" i="12"/>
  <c r="N86" i="12" s="1"/>
  <c r="BB86" i="12" s="1"/>
  <c r="G86" i="12"/>
  <c r="U122" i="12"/>
  <c r="T122" i="12"/>
  <c r="M122" i="12"/>
  <c r="N122" i="12" s="1"/>
  <c r="BB122" i="12" s="1"/>
  <c r="G122" i="12"/>
  <c r="U85" i="12"/>
  <c r="T85" i="12"/>
  <c r="M85" i="12"/>
  <c r="N85" i="12" s="1"/>
  <c r="G85" i="12"/>
  <c r="U121" i="12"/>
  <c r="T121" i="12"/>
  <c r="M121" i="12"/>
  <c r="N121" i="12" s="1"/>
  <c r="BB121" i="12" s="1"/>
  <c r="G121" i="12"/>
  <c r="AT121" i="12" s="1"/>
  <c r="U120" i="12"/>
  <c r="T120" i="12"/>
  <c r="M120" i="12"/>
  <c r="N120" i="12" s="1"/>
  <c r="BB120" i="12" s="1"/>
  <c r="G120" i="12"/>
  <c r="AS120" i="12" s="1"/>
  <c r="U119" i="12"/>
  <c r="T119" i="12"/>
  <c r="M119" i="12"/>
  <c r="N119" i="12" s="1"/>
  <c r="G119" i="12"/>
  <c r="U84" i="12"/>
  <c r="T84" i="12"/>
  <c r="M84" i="12"/>
  <c r="N84" i="12" s="1"/>
  <c r="BB84" i="12" s="1"/>
  <c r="G84" i="12"/>
  <c r="U118" i="12"/>
  <c r="T118" i="12"/>
  <c r="M118" i="12"/>
  <c r="N118" i="12" s="1"/>
  <c r="BB118" i="12" s="1"/>
  <c r="G118" i="12"/>
  <c r="U83" i="12"/>
  <c r="T83" i="12"/>
  <c r="M83" i="12"/>
  <c r="N83" i="12" s="1"/>
  <c r="BB83" i="12" s="1"/>
  <c r="G83" i="12"/>
  <c r="U82" i="12"/>
  <c r="T82" i="12"/>
  <c r="M82" i="12"/>
  <c r="N82" i="12" s="1"/>
  <c r="BB82" i="12" s="1"/>
  <c r="G82" i="12"/>
  <c r="AT82" i="12" s="1"/>
  <c r="U117" i="12"/>
  <c r="T117" i="12"/>
  <c r="M117" i="12"/>
  <c r="N117" i="12" s="1"/>
  <c r="BB117" i="12" s="1"/>
  <c r="G117" i="12"/>
  <c r="AT117" i="12" s="1"/>
  <c r="U116" i="12"/>
  <c r="T116" i="12"/>
  <c r="M116" i="12"/>
  <c r="N116" i="12" s="1"/>
  <c r="G116" i="12"/>
  <c r="AT116" i="12" s="1"/>
  <c r="U81" i="12"/>
  <c r="T81" i="12"/>
  <c r="M81" i="12"/>
  <c r="N81" i="12" s="1"/>
  <c r="BB81" i="12" s="1"/>
  <c r="G81" i="12"/>
  <c r="U115" i="12"/>
  <c r="T115" i="12"/>
  <c r="M115" i="12"/>
  <c r="N115" i="12" s="1"/>
  <c r="BB115" i="12" s="1"/>
  <c r="G115" i="12"/>
  <c r="U80" i="12"/>
  <c r="T80" i="12"/>
  <c r="M80" i="12"/>
  <c r="N80" i="12" s="1"/>
  <c r="BB80" i="12" s="1"/>
  <c r="G80" i="12"/>
  <c r="AP114" i="12"/>
  <c r="U114" i="12"/>
  <c r="AM114" i="12" s="1"/>
  <c r="T114" i="12"/>
  <c r="M114" i="12"/>
  <c r="N114" i="12" s="1"/>
  <c r="G114" i="12"/>
  <c r="U113" i="12"/>
  <c r="T113" i="12"/>
  <c r="M113" i="12"/>
  <c r="N113" i="12" s="1"/>
  <c r="G113" i="12"/>
  <c r="U79" i="12"/>
  <c r="T79" i="12"/>
  <c r="M79" i="12"/>
  <c r="N79" i="12" s="1"/>
  <c r="BB79" i="12" s="1"/>
  <c r="G79" i="12"/>
  <c r="U112" i="12"/>
  <c r="T112" i="12"/>
  <c r="M112" i="12"/>
  <c r="N112" i="12" s="1"/>
  <c r="BB112" i="12" s="1"/>
  <c r="G112" i="12"/>
  <c r="U78" i="12"/>
  <c r="T78" i="12"/>
  <c r="M78" i="12"/>
  <c r="N78" i="12" s="1"/>
  <c r="G78" i="12"/>
  <c r="AO78" i="12" s="1"/>
  <c r="U77" i="12"/>
  <c r="T77" i="12"/>
  <c r="M77" i="12"/>
  <c r="N77" i="12" s="1"/>
  <c r="BB77" i="12" s="1"/>
  <c r="G77" i="12"/>
  <c r="U111" i="12"/>
  <c r="T111" i="12"/>
  <c r="M111" i="12"/>
  <c r="N111" i="12" s="1"/>
  <c r="BB111" i="12" s="1"/>
  <c r="G111" i="12"/>
  <c r="U76" i="12"/>
  <c r="T76" i="12"/>
  <c r="M76" i="12"/>
  <c r="N76" i="12" s="1"/>
  <c r="G76" i="12"/>
  <c r="U110" i="12"/>
  <c r="T110" i="12"/>
  <c r="M110" i="12"/>
  <c r="N110" i="12" s="1"/>
  <c r="BB110" i="12" s="1"/>
  <c r="G110" i="12"/>
  <c r="U109" i="12"/>
  <c r="T109" i="12"/>
  <c r="M109" i="12"/>
  <c r="N109" i="12" s="1"/>
  <c r="BB109" i="12" s="1"/>
  <c r="G109" i="12"/>
  <c r="AJ108" i="12"/>
  <c r="AH108" i="12"/>
  <c r="U108" i="12"/>
  <c r="AE108" i="12" s="1"/>
  <c r="T108" i="12"/>
  <c r="M108" i="12"/>
  <c r="N108" i="12" s="1"/>
  <c r="BB108" i="12" s="1"/>
  <c r="G108" i="12"/>
  <c r="U75" i="12"/>
  <c r="T75" i="12"/>
  <c r="M75" i="12"/>
  <c r="N75" i="12" s="1"/>
  <c r="G75" i="12"/>
  <c r="U107" i="12"/>
  <c r="T107" i="12"/>
  <c r="M107" i="12"/>
  <c r="N107" i="12" s="1"/>
  <c r="BB107" i="12" s="1"/>
  <c r="G107" i="12"/>
  <c r="U74" i="12"/>
  <c r="T74" i="12"/>
  <c r="N74" i="12"/>
  <c r="M74" i="12"/>
  <c r="G74" i="12"/>
  <c r="AJ74" i="12" s="1"/>
  <c r="AK73" i="12"/>
  <c r="AE73" i="12"/>
  <c r="U73" i="12"/>
  <c r="T73" i="12"/>
  <c r="M73" i="12"/>
  <c r="N73" i="12" s="1"/>
  <c r="G73" i="12"/>
  <c r="U106" i="12"/>
  <c r="T106" i="12"/>
  <c r="M106" i="12"/>
  <c r="N106" i="12" s="1"/>
  <c r="BB106" i="12" s="1"/>
  <c r="G106" i="12"/>
  <c r="U72" i="12"/>
  <c r="T72" i="12"/>
  <c r="M72" i="12"/>
  <c r="N72" i="12" s="1"/>
  <c r="BB72" i="12" s="1"/>
  <c r="G72" i="12"/>
  <c r="AJ72" i="12" s="1"/>
  <c r="T70" i="12"/>
  <c r="M70" i="12"/>
  <c r="BB70" i="12" s="1"/>
  <c r="G70" i="12"/>
  <c r="AJ70" i="12" s="1"/>
  <c r="AK69" i="12"/>
  <c r="AE69" i="12"/>
  <c r="T69" i="12"/>
  <c r="M69" i="12"/>
  <c r="BB69" i="12" s="1"/>
  <c r="G69" i="12"/>
  <c r="AE68" i="12"/>
  <c r="T68" i="12"/>
  <c r="M68" i="12"/>
  <c r="BB68" i="12" s="1"/>
  <c r="G68" i="12"/>
  <c r="T71" i="12"/>
  <c r="O71" i="12"/>
  <c r="M71" i="12"/>
  <c r="BB71" i="12" s="1"/>
  <c r="G71" i="12"/>
  <c r="AE67" i="12"/>
  <c r="T67" i="12"/>
  <c r="M67" i="12"/>
  <c r="BB67" i="12" s="1"/>
  <c r="G67" i="12"/>
  <c r="AE66" i="12"/>
  <c r="T66" i="12"/>
  <c r="M66" i="12"/>
  <c r="BB66" i="12" s="1"/>
  <c r="G66" i="12"/>
  <c r="AE65" i="12"/>
  <c r="M65" i="12"/>
  <c r="BB65" i="12" s="1"/>
  <c r="I7" i="12" s="1"/>
  <c r="M7" i="12" s="1"/>
  <c r="F7" i="12" s="1"/>
  <c r="G65" i="12"/>
  <c r="AE64" i="12"/>
  <c r="M64" i="12"/>
  <c r="N64" i="12" s="1"/>
  <c r="Z64" i="12" s="1"/>
  <c r="G64" i="12"/>
  <c r="AE357" i="12"/>
  <c r="Z357" i="12"/>
  <c r="G357" i="12"/>
  <c r="U63" i="12"/>
  <c r="T63" i="12"/>
  <c r="P63" i="12"/>
  <c r="M63" i="12"/>
  <c r="BB63" i="12" s="1"/>
  <c r="G63" i="12"/>
  <c r="AA63" i="12" s="1"/>
  <c r="U62" i="12"/>
  <c r="T62" i="12"/>
  <c r="P62" i="12"/>
  <c r="O62" i="12"/>
  <c r="G62" i="12"/>
  <c r="AN61" i="12"/>
  <c r="AM61" i="12"/>
  <c r="AF61" i="12"/>
  <c r="U61" i="12"/>
  <c r="T61" i="12"/>
  <c r="Z61" i="12" s="1"/>
  <c r="M61" i="12"/>
  <c r="BB61" i="12" s="1"/>
  <c r="G61" i="12"/>
  <c r="U42" i="12"/>
  <c r="O42" i="12"/>
  <c r="N42" i="12" s="1"/>
  <c r="T377" i="12"/>
  <c r="N377" i="12"/>
  <c r="G377" i="12"/>
  <c r="U49" i="12"/>
  <c r="N49" i="12"/>
  <c r="AJ49" i="12" s="1"/>
  <c r="M49" i="12"/>
  <c r="U52" i="12"/>
  <c r="O52" i="12"/>
  <c r="AJ52" i="12" s="1"/>
  <c r="N52" i="12"/>
  <c r="AH52" i="12" s="1"/>
  <c r="U45" i="12"/>
  <c r="AJ45" i="12" s="1"/>
  <c r="O45" i="12"/>
  <c r="N45" i="12"/>
  <c r="AH45" i="12" s="1"/>
  <c r="AK32" i="12"/>
  <c r="AJ32" i="12"/>
  <c r="U32" i="12"/>
  <c r="N32" i="12"/>
  <c r="O32" i="12" s="1"/>
  <c r="U57" i="12"/>
  <c r="T57" i="12"/>
  <c r="N57" i="12"/>
  <c r="M57" i="12"/>
  <c r="O57" i="12" s="1"/>
  <c r="U58" i="12"/>
  <c r="T58" i="12"/>
  <c r="P58" i="12"/>
  <c r="O58" i="12"/>
  <c r="M58" i="12"/>
  <c r="BB58" i="12" s="1"/>
  <c r="AH37" i="12"/>
  <c r="U37" i="12"/>
  <c r="O37" i="12"/>
  <c r="AK35" i="12"/>
  <c r="AH35" i="12"/>
  <c r="U35" i="12"/>
  <c r="N35" i="12"/>
  <c r="Z35" i="12" s="1"/>
  <c r="U56" i="12"/>
  <c r="N56" i="12"/>
  <c r="Z56" i="12" s="1"/>
  <c r="M56" i="12"/>
  <c r="BB56" i="12" s="1"/>
  <c r="U51" i="12"/>
  <c r="O51" i="12"/>
  <c r="N51" i="12" s="1"/>
  <c r="AA51" i="12" s="1"/>
  <c r="U50" i="12"/>
  <c r="N50" i="12"/>
  <c r="Z50" i="12" s="1"/>
  <c r="AE376" i="12"/>
  <c r="T376" i="12"/>
  <c r="M376" i="12"/>
  <c r="N376" i="12" s="1"/>
  <c r="G376" i="12"/>
  <c r="AE375" i="12"/>
  <c r="T375" i="12"/>
  <c r="N375" i="12"/>
  <c r="G375" i="12"/>
  <c r="O33" i="12"/>
  <c r="AE33" i="12" s="1"/>
  <c r="M33" i="12"/>
  <c r="BB33" i="12" s="1"/>
  <c r="U28" i="12"/>
  <c r="T28" i="12"/>
  <c r="AH28" i="12" s="1"/>
  <c r="M28" i="12"/>
  <c r="BB28" i="12" s="1"/>
  <c r="U47" i="12"/>
  <c r="T47" i="12"/>
  <c r="N47" i="12"/>
  <c r="M47" i="12"/>
  <c r="BB47" i="12" s="1"/>
  <c r="U60" i="12"/>
  <c r="T60" i="12"/>
  <c r="N60" i="12"/>
  <c r="M60" i="12"/>
  <c r="BB60" i="12" s="1"/>
  <c r="AE55" i="12"/>
  <c r="T55" i="12"/>
  <c r="M55" i="12"/>
  <c r="BB55" i="12" s="1"/>
  <c r="AE34" i="12"/>
  <c r="N34" i="12"/>
  <c r="Z34" i="12" s="1"/>
  <c r="G34" i="12"/>
  <c r="T39" i="12"/>
  <c r="O39" i="12"/>
  <c r="AE39" i="12" s="1"/>
  <c r="M39" i="12"/>
  <c r="BB39" i="12" s="1"/>
  <c r="G39" i="12"/>
  <c r="T36" i="12"/>
  <c r="M36" i="12"/>
  <c r="BB36" i="12" s="1"/>
  <c r="G36" i="12"/>
  <c r="U41" i="12"/>
  <c r="N41" i="12"/>
  <c r="M41" i="12"/>
  <c r="BB41" i="12" s="1"/>
  <c r="AN43" i="12"/>
  <c r="AM43" i="12"/>
  <c r="U43" i="12"/>
  <c r="N43" i="12"/>
  <c r="Z43" i="12" s="1"/>
  <c r="M43" i="12"/>
  <c r="U31" i="12"/>
  <c r="O31" i="12"/>
  <c r="U30" i="12"/>
  <c r="O30" i="12"/>
  <c r="AD40" i="12"/>
  <c r="U40" i="12"/>
  <c r="O40" i="12"/>
  <c r="U46" i="12"/>
  <c r="T46" i="12"/>
  <c r="N46" i="12"/>
  <c r="U48" i="12"/>
  <c r="N48" i="12"/>
  <c r="AD48" i="12" s="1"/>
  <c r="U53" i="12"/>
  <c r="O53" i="12"/>
  <c r="M53" i="12"/>
  <c r="BB53" i="12" s="1"/>
  <c r="U44" i="12"/>
  <c r="N44" i="12"/>
  <c r="AD44" i="12" s="1"/>
  <c r="U38" i="12"/>
  <c r="N38" i="12"/>
  <c r="Z38" i="12" s="1"/>
  <c r="M38" i="12"/>
  <c r="BB38" i="12" s="1"/>
  <c r="U59" i="12"/>
  <c r="T59" i="12"/>
  <c r="O59" i="12"/>
  <c r="M59" i="12"/>
  <c r="T29" i="12"/>
  <c r="N29" i="12"/>
  <c r="M29" i="12"/>
  <c r="BB29" i="12" s="1"/>
  <c r="AE54" i="12"/>
  <c r="T54" i="12"/>
  <c r="M54" i="12"/>
  <c r="BB54" i="12" s="1"/>
  <c r="AE374" i="12"/>
  <c r="AB374" i="12"/>
  <c r="Z374" i="12"/>
  <c r="G356" i="12"/>
  <c r="AJ356" i="12" s="1"/>
  <c r="G355" i="12"/>
  <c r="AJ355" i="12" s="1"/>
  <c r="G354" i="12"/>
  <c r="AH354" i="12" s="1"/>
  <c r="AK353" i="12"/>
  <c r="AH353" i="12"/>
  <c r="Z353" i="12"/>
  <c r="G353" i="12"/>
  <c r="G352" i="12"/>
  <c r="AH352" i="12" s="1"/>
  <c r="G351" i="12"/>
  <c r="AJ351" i="12" s="1"/>
  <c r="G350" i="12"/>
  <c r="AH350" i="12" s="1"/>
  <c r="AK349" i="12"/>
  <c r="AE349" i="12"/>
  <c r="Z349" i="12"/>
  <c r="G349" i="12"/>
  <c r="G348" i="12"/>
  <c r="G347" i="12"/>
  <c r="AC347" i="12" s="1"/>
  <c r="G346" i="12"/>
  <c r="AC346" i="12" s="1"/>
  <c r="G345" i="12"/>
  <c r="AC345" i="12" s="1"/>
  <c r="AC21" i="12" s="1"/>
  <c r="AE344" i="12"/>
  <c r="Z344" i="12"/>
  <c r="G344" i="12"/>
  <c r="AE343" i="12"/>
  <c r="Z343" i="12"/>
  <c r="G343" i="12"/>
  <c r="AE342" i="12"/>
  <c r="Z342" i="12"/>
  <c r="G342" i="12"/>
  <c r="AE341" i="12"/>
  <c r="Z341" i="12"/>
  <c r="G341" i="12"/>
  <c r="AE340" i="12"/>
  <c r="Z340" i="12"/>
  <c r="G340" i="12"/>
  <c r="AE339" i="12"/>
  <c r="Z339" i="12"/>
  <c r="G339" i="12"/>
  <c r="O26" i="12"/>
  <c r="N26" i="12" s="1"/>
  <c r="Z26" i="12" s="1"/>
  <c r="G26" i="12"/>
  <c r="AE338" i="12"/>
  <c r="Z338" i="12"/>
  <c r="G338" i="12"/>
  <c r="AE337" i="12"/>
  <c r="Z337" i="12"/>
  <c r="G337" i="12"/>
  <c r="AE25" i="12"/>
  <c r="Z25" i="12"/>
  <c r="M25" i="12"/>
  <c r="BB25" i="12" s="1"/>
  <c r="Z27" i="12"/>
  <c r="O27" i="12"/>
  <c r="AE27" i="12" s="1"/>
  <c r="G27" i="12"/>
  <c r="AE336" i="12"/>
  <c r="Z336" i="12"/>
  <c r="G336" i="12"/>
  <c r="G335" i="12"/>
  <c r="AA335" i="12" s="1"/>
  <c r="G334" i="12"/>
  <c r="AA334" i="12" s="1"/>
  <c r="AN24" i="12"/>
  <c r="AM24" i="12"/>
  <c r="AF24" i="12"/>
  <c r="AB24" i="12"/>
  <c r="AB21" i="12" s="1"/>
  <c r="M24" i="12"/>
  <c r="N24" i="12" s="1"/>
  <c r="Z24" i="12" s="1"/>
  <c r="G333" i="12"/>
  <c r="G332" i="12"/>
  <c r="AV21" i="12"/>
  <c r="AI21" i="12"/>
  <c r="F8" i="5"/>
  <c r="AB7" i="10"/>
  <c r="AB2" i="10" s="1"/>
  <c r="AB34" i="10"/>
  <c r="AA2" i="10"/>
  <c r="AC2" i="10"/>
  <c r="AD2" i="10"/>
  <c r="AE2" i="10"/>
  <c r="AF2" i="10"/>
  <c r="AG2" i="10"/>
  <c r="AH2" i="10"/>
  <c r="AI2" i="10"/>
  <c r="AJ2" i="10"/>
  <c r="AK2" i="10"/>
  <c r="AL2" i="10"/>
  <c r="AM2" i="10"/>
  <c r="AN2" i="10"/>
  <c r="AO2" i="10"/>
  <c r="AP2" i="10"/>
  <c r="AQ2" i="10"/>
  <c r="AR2" i="10"/>
  <c r="AS2" i="10"/>
  <c r="AT2" i="10"/>
  <c r="AU2" i="10"/>
  <c r="AV2" i="10"/>
  <c r="AW2" i="10"/>
  <c r="AX2" i="10"/>
  <c r="AY2" i="10"/>
  <c r="AZ2" i="10"/>
  <c r="Z2" i="10"/>
  <c r="AQ431" i="10"/>
  <c r="AQ494" i="10"/>
  <c r="AQ496" i="10"/>
  <c r="AQ497" i="10"/>
  <c r="AQ499" i="10"/>
  <c r="AQ502" i="10"/>
  <c r="AQ529" i="10"/>
  <c r="AQ531" i="10"/>
  <c r="AQ532" i="10"/>
  <c r="AQ534" i="10"/>
  <c r="AQ428" i="10"/>
  <c r="AQ264" i="10"/>
  <c r="AQ265" i="10"/>
  <c r="AQ267" i="10"/>
  <c r="AQ296" i="10"/>
  <c r="AQ298" i="10"/>
  <c r="AQ299" i="10"/>
  <c r="AQ301" i="10"/>
  <c r="AQ304" i="10"/>
  <c r="AQ326" i="10"/>
  <c r="AQ328" i="10"/>
  <c r="AQ359" i="10"/>
  <c r="AQ360" i="10"/>
  <c r="AQ362" i="10"/>
  <c r="AQ392" i="10"/>
  <c r="AQ394" i="10"/>
  <c r="AQ395" i="10"/>
  <c r="AQ396" i="10"/>
  <c r="AQ399" i="10"/>
  <c r="AQ430" i="10"/>
  <c r="AQ460" i="10"/>
  <c r="AQ462" i="10"/>
  <c r="AQ463" i="10"/>
  <c r="AQ465" i="10"/>
  <c r="AQ262" i="10"/>
  <c r="M88" i="10"/>
  <c r="N88" i="10" s="1"/>
  <c r="G88" i="10"/>
  <c r="M84" i="10"/>
  <c r="N84" i="10" s="1"/>
  <c r="G84" i="10"/>
  <c r="M68" i="10"/>
  <c r="N68" i="10" s="1"/>
  <c r="G68" i="10"/>
  <c r="M64" i="10"/>
  <c r="N64" i="10" s="1"/>
  <c r="G64" i="10"/>
  <c r="M33" i="10"/>
  <c r="G33" i="10"/>
  <c r="AJ33" i="10" s="1"/>
  <c r="O91" i="10"/>
  <c r="M91" i="10"/>
  <c r="N91" i="10" s="1"/>
  <c r="G91" i="10"/>
  <c r="AJ91" i="10" s="1"/>
  <c r="O90" i="10"/>
  <c r="M90" i="10"/>
  <c r="N90" i="10" s="1"/>
  <c r="G90" i="10"/>
  <c r="U87" i="10"/>
  <c r="N87" i="10"/>
  <c r="M87" i="10"/>
  <c r="G87" i="10"/>
  <c r="AH86" i="10"/>
  <c r="N86" i="10"/>
  <c r="M86" i="10"/>
  <c r="O86" i="10" s="1"/>
  <c r="G86" i="10"/>
  <c r="M83" i="10"/>
  <c r="O83" i="10" s="1"/>
  <c r="G83" i="10"/>
  <c r="AH83" i="10" s="1"/>
  <c r="O82" i="10"/>
  <c r="N82" i="10"/>
  <c r="G82" i="10"/>
  <c r="AH82" i="10" s="1"/>
  <c r="U67" i="10"/>
  <c r="N67" i="10"/>
  <c r="M67" i="10"/>
  <c r="O67" i="10" s="1"/>
  <c r="G67" i="10"/>
  <c r="AH67" i="10" s="1"/>
  <c r="O66" i="10"/>
  <c r="N66" i="10"/>
  <c r="M66" i="10"/>
  <c r="G66" i="10"/>
  <c r="AH66" i="10" s="1"/>
  <c r="U63" i="10"/>
  <c r="N63" i="10"/>
  <c r="M63" i="10"/>
  <c r="G63" i="10"/>
  <c r="M62" i="10"/>
  <c r="O62" i="10" s="1"/>
  <c r="G62" i="10"/>
  <c r="AH62" i="10" s="1"/>
  <c r="U32" i="10"/>
  <c r="N32" i="10"/>
  <c r="M32" i="10"/>
  <c r="G32" i="10"/>
  <c r="M31" i="10"/>
  <c r="O31" i="10" s="1"/>
  <c r="G31" i="10"/>
  <c r="AH31" i="10" s="1"/>
  <c r="M29" i="10"/>
  <c r="O29" i="10" s="1"/>
  <c r="G29" i="10"/>
  <c r="AH29" i="10" s="1"/>
  <c r="U28" i="10"/>
  <c r="O28" i="10"/>
  <c r="AJ28" i="10" s="1"/>
  <c r="M28" i="10"/>
  <c r="G28" i="10"/>
  <c r="AH28" i="10" s="1"/>
  <c r="G27" i="10"/>
  <c r="AH27" i="10" s="1"/>
  <c r="G178" i="10"/>
  <c r="AR178" i="10" s="1"/>
  <c r="U177" i="10"/>
  <c r="N177" i="10"/>
  <c r="G177" i="10"/>
  <c r="G173" i="10"/>
  <c r="G172" i="10"/>
  <c r="AR172" i="10" s="1"/>
  <c r="U171" i="10"/>
  <c r="N171" i="10"/>
  <c r="M171" i="10"/>
  <c r="G171" i="10"/>
  <c r="U168" i="10"/>
  <c r="O168" i="10"/>
  <c r="G168" i="10"/>
  <c r="U159" i="10"/>
  <c r="N159" i="10"/>
  <c r="M159" i="10"/>
  <c r="G159" i="10"/>
  <c r="U158" i="10"/>
  <c r="N158" i="10"/>
  <c r="M158" i="10"/>
  <c r="O158" i="10" s="1"/>
  <c r="G158" i="10"/>
  <c r="AH158" i="10" s="1"/>
  <c r="U155" i="10"/>
  <c r="O155" i="10"/>
  <c r="N155" i="10"/>
  <c r="G155" i="10"/>
  <c r="G154" i="10"/>
  <c r="AH154" i="10" s="1"/>
  <c r="AH147" i="10"/>
  <c r="U147" i="10"/>
  <c r="O147" i="10"/>
  <c r="G147" i="10"/>
  <c r="U145" i="10"/>
  <c r="O145" i="10"/>
  <c r="AR145" i="10" s="1"/>
  <c r="G145" i="10"/>
  <c r="AH145" i="10" s="1"/>
  <c r="U144" i="10"/>
  <c r="O144" i="10"/>
  <c r="N144" i="10"/>
  <c r="G144" i="10"/>
  <c r="P512" i="10"/>
  <c r="N512" i="10"/>
  <c r="M512" i="10"/>
  <c r="G512" i="10"/>
  <c r="AR512" i="10" s="1"/>
  <c r="P478" i="10"/>
  <c r="N478" i="10"/>
  <c r="M478" i="10"/>
  <c r="G478" i="10"/>
  <c r="AR478" i="10" s="1"/>
  <c r="P444" i="10"/>
  <c r="N444" i="10"/>
  <c r="M444" i="10"/>
  <c r="G444" i="10"/>
  <c r="AR444" i="10" s="1"/>
  <c r="P409" i="10"/>
  <c r="N409" i="10"/>
  <c r="M409" i="10"/>
  <c r="G409" i="10"/>
  <c r="AR409" i="10" s="1"/>
  <c r="P375" i="10"/>
  <c r="N375" i="10"/>
  <c r="M375" i="10"/>
  <c r="G375" i="10"/>
  <c r="AR375" i="10" s="1"/>
  <c r="P340" i="10"/>
  <c r="N340" i="10"/>
  <c r="M340" i="10"/>
  <c r="G340" i="10"/>
  <c r="AR340" i="10" s="1"/>
  <c r="P313" i="10"/>
  <c r="N313" i="10"/>
  <c r="M313" i="10"/>
  <c r="G313" i="10"/>
  <c r="AR313" i="10" s="1"/>
  <c r="P280" i="10"/>
  <c r="N280" i="10"/>
  <c r="M280" i="10"/>
  <c r="G280" i="10"/>
  <c r="AR280" i="10" s="1"/>
  <c r="P246" i="10"/>
  <c r="N246" i="10"/>
  <c r="M246" i="10"/>
  <c r="G246" i="10"/>
  <c r="AR246" i="10" s="1"/>
  <c r="V176" i="10"/>
  <c r="P176" i="10"/>
  <c r="G176" i="10"/>
  <c r="V160" i="10"/>
  <c r="Q160" i="10"/>
  <c r="O160" i="10"/>
  <c r="N160" i="10"/>
  <c r="M160" i="10"/>
  <c r="G160" i="10"/>
  <c r="AH160" i="10" s="1"/>
  <c r="W152" i="10"/>
  <c r="P152" i="10"/>
  <c r="O152" i="10"/>
  <c r="N152" i="10"/>
  <c r="M152" i="10"/>
  <c r="G152" i="10"/>
  <c r="T79" i="10"/>
  <c r="N79" i="10"/>
  <c r="G79" i="10"/>
  <c r="T54" i="10"/>
  <c r="M54" i="10"/>
  <c r="N54" i="10" s="1"/>
  <c r="G54" i="10"/>
  <c r="AH53" i="10"/>
  <c r="T53" i="10"/>
  <c r="N53" i="10"/>
  <c r="G53" i="10"/>
  <c r="G221" i="10"/>
  <c r="U220" i="10"/>
  <c r="O220" i="10"/>
  <c r="G220" i="10"/>
  <c r="U383" i="10"/>
  <c r="Q383" i="10"/>
  <c r="P383" i="10"/>
  <c r="N383" i="10"/>
  <c r="G383" i="10"/>
  <c r="AT383" i="10" s="1"/>
  <c r="G507" i="10"/>
  <c r="G473" i="10"/>
  <c r="G439" i="10"/>
  <c r="G404" i="10"/>
  <c r="G370" i="10"/>
  <c r="G335" i="10"/>
  <c r="G309" i="10"/>
  <c r="G275" i="10"/>
  <c r="G241" i="10"/>
  <c r="G506" i="10"/>
  <c r="G472" i="10"/>
  <c r="G438" i="10"/>
  <c r="G403" i="10"/>
  <c r="G334" i="10"/>
  <c r="G308" i="10"/>
  <c r="G369" i="10"/>
  <c r="G274" i="10"/>
  <c r="G240" i="10"/>
  <c r="G191" i="10"/>
  <c r="G190" i="10"/>
  <c r="T186" i="10"/>
  <c r="N186" i="10"/>
  <c r="M186" i="10"/>
  <c r="G186" i="10"/>
  <c r="G142" i="10"/>
  <c r="G131" i="10"/>
  <c r="G130" i="10"/>
  <c r="G97" i="10"/>
  <c r="G96" i="10"/>
  <c r="AD92" i="10"/>
  <c r="G92" i="10"/>
  <c r="T43" i="10"/>
  <c r="N43" i="10"/>
  <c r="G43" i="10"/>
  <c r="T42" i="10"/>
  <c r="N42" i="10"/>
  <c r="G42" i="10"/>
  <c r="N41" i="10"/>
  <c r="G41" i="10"/>
  <c r="T39" i="10"/>
  <c r="N39" i="10"/>
  <c r="M39" i="10"/>
  <c r="H39" i="10"/>
  <c r="G39" i="10"/>
  <c r="N24" i="10"/>
  <c r="G24" i="10"/>
  <c r="AK24" i="10" s="1"/>
  <c r="T23" i="10"/>
  <c r="O23" i="10"/>
  <c r="M23" i="10"/>
  <c r="N23" i="10" s="1"/>
  <c r="G23" i="10"/>
  <c r="AK23" i="10" s="1"/>
  <c r="T22" i="10"/>
  <c r="N22" i="10"/>
  <c r="M22" i="10"/>
  <c r="G22" i="10"/>
  <c r="T73" i="10"/>
  <c r="G73" i="10"/>
  <c r="T72" i="10"/>
  <c r="G72" i="10"/>
  <c r="AA72" i="10" s="1"/>
  <c r="T59" i="10"/>
  <c r="N59" i="10"/>
  <c r="G59" i="10"/>
  <c r="T48" i="10"/>
  <c r="G48" i="10"/>
  <c r="AA48" i="10" s="1"/>
  <c r="T47" i="10"/>
  <c r="G47" i="10"/>
  <c r="AA47" i="10" s="1"/>
  <c r="T9" i="10"/>
  <c r="G9" i="10"/>
  <c r="T8" i="10"/>
  <c r="G8" i="10"/>
  <c r="AA8" i="10" s="1"/>
  <c r="M98" i="10"/>
  <c r="N98" i="10" s="1"/>
  <c r="G98" i="10"/>
  <c r="T216" i="10"/>
  <c r="M216" i="10"/>
  <c r="N216" i="10" s="1"/>
  <c r="G216" i="10"/>
  <c r="U114" i="10"/>
  <c r="T114" i="10"/>
  <c r="N114" i="10"/>
  <c r="O114" i="10" s="1"/>
  <c r="G114" i="10"/>
  <c r="U113" i="10"/>
  <c r="T113" i="10"/>
  <c r="O113" i="10"/>
  <c r="G113" i="10"/>
  <c r="AS113" i="10" s="1"/>
  <c r="G201" i="10"/>
  <c r="G200" i="10"/>
  <c r="T169" i="10"/>
  <c r="N169" i="10"/>
  <c r="G169" i="10"/>
  <c r="T149" i="10"/>
  <c r="N149" i="10"/>
  <c r="G149" i="10"/>
  <c r="U148" i="10"/>
  <c r="O148" i="10"/>
  <c r="G148" i="10"/>
  <c r="AR148" i="10" s="1"/>
  <c r="T146" i="10"/>
  <c r="N146" i="10"/>
  <c r="G146" i="10"/>
  <c r="T139" i="10"/>
  <c r="N139" i="10"/>
  <c r="G139" i="10"/>
  <c r="T138" i="10"/>
  <c r="N138" i="10"/>
  <c r="G138" i="10"/>
  <c r="T137" i="10"/>
  <c r="N137" i="10"/>
  <c r="G137" i="10"/>
  <c r="T136" i="10"/>
  <c r="N136" i="10"/>
  <c r="G136" i="10"/>
  <c r="U419" i="10"/>
  <c r="O419" i="10"/>
  <c r="N419" i="10"/>
  <c r="M419" i="10"/>
  <c r="G419" i="10"/>
  <c r="AQ419" i="10" s="1"/>
  <c r="U384" i="10"/>
  <c r="N384" i="10"/>
  <c r="M384" i="10"/>
  <c r="G384" i="10"/>
  <c r="U350" i="10"/>
  <c r="N350" i="10"/>
  <c r="M350" i="10"/>
  <c r="O350" i="10" s="1"/>
  <c r="G350" i="10"/>
  <c r="AQ350" i="10" s="1"/>
  <c r="U420" i="10"/>
  <c r="N420" i="10"/>
  <c r="M420" i="10"/>
  <c r="O420" i="10" s="1"/>
  <c r="G420" i="10"/>
  <c r="AQ420" i="10" s="1"/>
  <c r="U385" i="10"/>
  <c r="O385" i="10"/>
  <c r="N385" i="10"/>
  <c r="M385" i="10"/>
  <c r="G385" i="10"/>
  <c r="AQ385" i="10" s="1"/>
  <c r="U351" i="10"/>
  <c r="N351" i="10"/>
  <c r="M351" i="10"/>
  <c r="G351" i="10"/>
  <c r="N425" i="10"/>
  <c r="M425" i="10"/>
  <c r="G425" i="10"/>
  <c r="N390" i="10"/>
  <c r="M390" i="10"/>
  <c r="G390" i="10"/>
  <c r="N356" i="10"/>
  <c r="M356" i="10"/>
  <c r="G356" i="10"/>
  <c r="T222" i="10"/>
  <c r="N222" i="10"/>
  <c r="G222" i="10"/>
  <c r="T218" i="10"/>
  <c r="N218" i="10"/>
  <c r="G218" i="10"/>
  <c r="T217" i="10"/>
  <c r="N217" i="10"/>
  <c r="G217" i="10"/>
  <c r="G196" i="10"/>
  <c r="AQ196" i="10" s="1"/>
  <c r="G195" i="10"/>
  <c r="AQ195" i="10" s="1"/>
  <c r="T124" i="10"/>
  <c r="N124" i="10"/>
  <c r="G124" i="10"/>
  <c r="T123" i="10"/>
  <c r="N123" i="10"/>
  <c r="G123" i="10"/>
  <c r="T121" i="10"/>
  <c r="N121" i="10"/>
  <c r="G121" i="10"/>
  <c r="T120" i="10"/>
  <c r="N120" i="10"/>
  <c r="G120" i="10"/>
  <c r="T119" i="10"/>
  <c r="N119" i="10"/>
  <c r="G119" i="10"/>
  <c r="T118" i="10"/>
  <c r="N118" i="10"/>
  <c r="G118" i="10"/>
  <c r="T117" i="10"/>
  <c r="N117" i="10"/>
  <c r="G117" i="10"/>
  <c r="T116" i="10"/>
  <c r="N116" i="10"/>
  <c r="G116" i="10"/>
  <c r="T115" i="10"/>
  <c r="M115" i="10"/>
  <c r="N115" i="10" s="1"/>
  <c r="G115" i="10"/>
  <c r="T388" i="10"/>
  <c r="O388" i="10"/>
  <c r="N388" i="10"/>
  <c r="M388" i="10"/>
  <c r="G388" i="10"/>
  <c r="AY388" i="10" s="1"/>
  <c r="U112" i="10"/>
  <c r="T112" i="10"/>
  <c r="O112" i="10"/>
  <c r="N112" i="10"/>
  <c r="G112" i="10"/>
  <c r="T233" i="10"/>
  <c r="M233" i="10"/>
  <c r="N233" i="10" s="1"/>
  <c r="G233" i="10"/>
  <c r="AS233" i="10" s="1"/>
  <c r="U445" i="10"/>
  <c r="N445" i="10"/>
  <c r="G445" i="10"/>
  <c r="AP247" i="10"/>
  <c r="U247" i="10"/>
  <c r="N247" i="10"/>
  <c r="O247" i="10" s="1"/>
  <c r="G247" i="10"/>
  <c r="U341" i="10"/>
  <c r="N341" i="10"/>
  <c r="G341" i="10"/>
  <c r="T199" i="10"/>
  <c r="M199" i="10"/>
  <c r="N199" i="10" s="1"/>
  <c r="AP199" i="10" s="1"/>
  <c r="G199" i="10"/>
  <c r="AR199" i="10" s="1"/>
  <c r="AY536" i="10"/>
  <c r="U536" i="10"/>
  <c r="AQ536" i="10" s="1"/>
  <c r="T536" i="10"/>
  <c r="M536" i="10"/>
  <c r="N536" i="10" s="1"/>
  <c r="AP536" i="10" s="1"/>
  <c r="G536" i="10"/>
  <c r="AY535" i="10"/>
  <c r="U535" i="10"/>
  <c r="AQ535" i="10" s="1"/>
  <c r="T535" i="10"/>
  <c r="M535" i="10"/>
  <c r="N535" i="10" s="1"/>
  <c r="G535" i="10"/>
  <c r="AY533" i="10"/>
  <c r="U533" i="10"/>
  <c r="AQ533" i="10" s="1"/>
  <c r="T533" i="10"/>
  <c r="M533" i="10"/>
  <c r="N533" i="10" s="1"/>
  <c r="G533" i="10"/>
  <c r="AY530" i="10"/>
  <c r="U530" i="10"/>
  <c r="AQ530" i="10" s="1"/>
  <c r="T530" i="10"/>
  <c r="M530" i="10"/>
  <c r="N530" i="10" s="1"/>
  <c r="AP530" i="10" s="1"/>
  <c r="G530" i="10"/>
  <c r="AY528" i="10"/>
  <c r="U528" i="10"/>
  <c r="AQ528" i="10" s="1"/>
  <c r="T528" i="10"/>
  <c r="M528" i="10"/>
  <c r="N528" i="10" s="1"/>
  <c r="AP528" i="10" s="1"/>
  <c r="G528" i="10"/>
  <c r="AY501" i="10"/>
  <c r="U501" i="10"/>
  <c r="AQ501" i="10" s="1"/>
  <c r="T501" i="10"/>
  <c r="M501" i="10"/>
  <c r="N501" i="10" s="1"/>
  <c r="G501" i="10"/>
  <c r="AY500" i="10"/>
  <c r="U500" i="10"/>
  <c r="AQ500" i="10" s="1"/>
  <c r="T500" i="10"/>
  <c r="M500" i="10"/>
  <c r="N500" i="10" s="1"/>
  <c r="G500" i="10"/>
  <c r="AY498" i="10"/>
  <c r="U498" i="10"/>
  <c r="AQ498" i="10" s="1"/>
  <c r="T498" i="10"/>
  <c r="M498" i="10"/>
  <c r="N498" i="10" s="1"/>
  <c r="AP498" i="10" s="1"/>
  <c r="G498" i="10"/>
  <c r="AY495" i="10"/>
  <c r="U495" i="10"/>
  <c r="AQ495" i="10" s="1"/>
  <c r="T495" i="10"/>
  <c r="M495" i="10"/>
  <c r="N495" i="10" s="1"/>
  <c r="AP495" i="10" s="1"/>
  <c r="G495" i="10"/>
  <c r="AY433" i="10"/>
  <c r="AP433" i="10"/>
  <c r="U433" i="10"/>
  <c r="AQ433" i="10" s="1"/>
  <c r="T433" i="10"/>
  <c r="M433" i="10"/>
  <c r="N433" i="10" s="1"/>
  <c r="G433" i="10"/>
  <c r="AY468" i="10"/>
  <c r="U468" i="10"/>
  <c r="AQ468" i="10" s="1"/>
  <c r="T468" i="10"/>
  <c r="M468" i="10"/>
  <c r="N468" i="10" s="1"/>
  <c r="AP468" i="10" s="1"/>
  <c r="G468" i="10"/>
  <c r="AY467" i="10"/>
  <c r="U467" i="10"/>
  <c r="AQ467" i="10" s="1"/>
  <c r="T467" i="10"/>
  <c r="M467" i="10"/>
  <c r="N467" i="10" s="1"/>
  <c r="AP467" i="10" s="1"/>
  <c r="G467" i="10"/>
  <c r="AY466" i="10"/>
  <c r="U466" i="10"/>
  <c r="AQ466" i="10" s="1"/>
  <c r="T466" i="10"/>
  <c r="M466" i="10"/>
  <c r="N466" i="10" s="1"/>
  <c r="AP466" i="10" s="1"/>
  <c r="G466" i="10"/>
  <c r="AY464" i="10"/>
  <c r="U464" i="10"/>
  <c r="AQ464" i="10" s="1"/>
  <c r="T464" i="10"/>
  <c r="M464" i="10"/>
  <c r="N464" i="10" s="1"/>
  <c r="AP464" i="10" s="1"/>
  <c r="G464" i="10"/>
  <c r="AY461" i="10"/>
  <c r="U461" i="10"/>
  <c r="AQ461" i="10" s="1"/>
  <c r="T461" i="10"/>
  <c r="M461" i="10"/>
  <c r="N461" i="10" s="1"/>
  <c r="AP461" i="10" s="1"/>
  <c r="G461" i="10"/>
  <c r="AY434" i="10"/>
  <c r="U434" i="10"/>
  <c r="AQ434" i="10" s="1"/>
  <c r="T434" i="10"/>
  <c r="M434" i="10"/>
  <c r="N434" i="10" s="1"/>
  <c r="AP434" i="10" s="1"/>
  <c r="G434" i="10"/>
  <c r="AY432" i="10"/>
  <c r="U432" i="10"/>
  <c r="AQ432" i="10" s="1"/>
  <c r="T432" i="10"/>
  <c r="M432" i="10"/>
  <c r="N432" i="10" s="1"/>
  <c r="AP432" i="10" s="1"/>
  <c r="G432" i="10"/>
  <c r="AY429" i="10"/>
  <c r="U429" i="10"/>
  <c r="AQ429" i="10" s="1"/>
  <c r="T429" i="10"/>
  <c r="M429" i="10"/>
  <c r="N429" i="10" s="1"/>
  <c r="AP429" i="10" s="1"/>
  <c r="G429" i="10"/>
  <c r="AY427" i="10"/>
  <c r="AP427" i="10"/>
  <c r="U427" i="10"/>
  <c r="AQ427" i="10" s="1"/>
  <c r="T427" i="10"/>
  <c r="M427" i="10"/>
  <c r="N427" i="10" s="1"/>
  <c r="G427" i="10"/>
  <c r="AY398" i="10"/>
  <c r="U398" i="10"/>
  <c r="AQ398" i="10" s="1"/>
  <c r="T398" i="10"/>
  <c r="M398" i="10"/>
  <c r="N398" i="10" s="1"/>
  <c r="AP398" i="10" s="1"/>
  <c r="G398" i="10"/>
  <c r="AY397" i="10"/>
  <c r="U397" i="10"/>
  <c r="AQ397" i="10" s="1"/>
  <c r="T397" i="10"/>
  <c r="M397" i="10"/>
  <c r="N397" i="10" s="1"/>
  <c r="AP397" i="10" s="1"/>
  <c r="G397" i="10"/>
  <c r="AY393" i="10"/>
  <c r="U393" i="10"/>
  <c r="AQ393" i="10" s="1"/>
  <c r="T393" i="10"/>
  <c r="M393" i="10"/>
  <c r="N393" i="10" s="1"/>
  <c r="AP393" i="10" s="1"/>
  <c r="G393" i="10"/>
  <c r="AY365" i="10"/>
  <c r="AP365" i="10"/>
  <c r="U365" i="10"/>
  <c r="AQ365" i="10" s="1"/>
  <c r="T365" i="10"/>
  <c r="M365" i="10"/>
  <c r="N365" i="10" s="1"/>
  <c r="G365" i="10"/>
  <c r="AY364" i="10"/>
  <c r="U364" i="10"/>
  <c r="AQ364" i="10" s="1"/>
  <c r="T364" i="10"/>
  <c r="M364" i="10"/>
  <c r="N364" i="10" s="1"/>
  <c r="AP364" i="10" s="1"/>
  <c r="G364" i="10"/>
  <c r="AY363" i="10"/>
  <c r="U363" i="10"/>
  <c r="AQ363" i="10" s="1"/>
  <c r="T363" i="10"/>
  <c r="M363" i="10"/>
  <c r="N363" i="10" s="1"/>
  <c r="AP363" i="10" s="1"/>
  <c r="G363" i="10"/>
  <c r="AY361" i="10"/>
  <c r="U361" i="10"/>
  <c r="AQ361" i="10" s="1"/>
  <c r="T361" i="10"/>
  <c r="M361" i="10"/>
  <c r="N361" i="10" s="1"/>
  <c r="AP361" i="10" s="1"/>
  <c r="G361" i="10"/>
  <c r="AY358" i="10"/>
  <c r="U358" i="10"/>
  <c r="AQ358" i="10" s="1"/>
  <c r="T358" i="10"/>
  <c r="M358" i="10"/>
  <c r="N358" i="10" s="1"/>
  <c r="AP358" i="10" s="1"/>
  <c r="G358" i="10"/>
  <c r="AY330" i="10"/>
  <c r="U330" i="10"/>
  <c r="AQ330" i="10" s="1"/>
  <c r="T330" i="10"/>
  <c r="M330" i="10"/>
  <c r="N330" i="10" s="1"/>
  <c r="AP330" i="10" s="1"/>
  <c r="G330" i="10"/>
  <c r="AY329" i="10"/>
  <c r="AP329" i="10"/>
  <c r="U329" i="10"/>
  <c r="AQ329" i="10" s="1"/>
  <c r="T329" i="10"/>
  <c r="M329" i="10"/>
  <c r="N329" i="10" s="1"/>
  <c r="G329" i="10"/>
  <c r="AY327" i="10"/>
  <c r="U327" i="10"/>
  <c r="AQ327" i="10" s="1"/>
  <c r="T327" i="10"/>
  <c r="M327" i="10"/>
  <c r="N327" i="10" s="1"/>
  <c r="AP327" i="10" s="1"/>
  <c r="G327" i="10"/>
  <c r="AY325" i="10"/>
  <c r="U325" i="10"/>
  <c r="AQ325" i="10" s="1"/>
  <c r="T325" i="10"/>
  <c r="M325" i="10"/>
  <c r="N325" i="10" s="1"/>
  <c r="AP325" i="10" s="1"/>
  <c r="G325" i="10"/>
  <c r="AY303" i="10"/>
  <c r="U303" i="10"/>
  <c r="AQ303" i="10" s="1"/>
  <c r="T303" i="10"/>
  <c r="M303" i="10"/>
  <c r="N303" i="10" s="1"/>
  <c r="AP303" i="10" s="1"/>
  <c r="G303" i="10"/>
  <c r="AY302" i="10"/>
  <c r="U302" i="10"/>
  <c r="AQ302" i="10" s="1"/>
  <c r="T302" i="10"/>
  <c r="M302" i="10"/>
  <c r="N302" i="10" s="1"/>
  <c r="AP302" i="10" s="1"/>
  <c r="G302" i="10"/>
  <c r="AY300" i="10"/>
  <c r="U300" i="10"/>
  <c r="AQ300" i="10" s="1"/>
  <c r="T300" i="10"/>
  <c r="M300" i="10"/>
  <c r="N300" i="10" s="1"/>
  <c r="AP300" i="10" s="1"/>
  <c r="G300" i="10"/>
  <c r="AY297" i="10"/>
  <c r="AP297" i="10"/>
  <c r="U297" i="10"/>
  <c r="AQ297" i="10" s="1"/>
  <c r="T297" i="10"/>
  <c r="M297" i="10"/>
  <c r="N297" i="10" s="1"/>
  <c r="G297" i="10"/>
  <c r="AY270" i="10"/>
  <c r="U270" i="10"/>
  <c r="AQ270" i="10" s="1"/>
  <c r="T270" i="10"/>
  <c r="M270" i="10"/>
  <c r="N270" i="10" s="1"/>
  <c r="AP270" i="10" s="1"/>
  <c r="G270" i="10"/>
  <c r="AY269" i="10"/>
  <c r="U269" i="10"/>
  <c r="AQ269" i="10" s="1"/>
  <c r="T269" i="10"/>
  <c r="M269" i="10"/>
  <c r="N269" i="10" s="1"/>
  <c r="AP269" i="10" s="1"/>
  <c r="G269" i="10"/>
  <c r="AY268" i="10"/>
  <c r="U268" i="10"/>
  <c r="AQ268" i="10" s="1"/>
  <c r="T268" i="10"/>
  <c r="M268" i="10"/>
  <c r="N268" i="10" s="1"/>
  <c r="AP268" i="10" s="1"/>
  <c r="G268" i="10"/>
  <c r="AY266" i="10"/>
  <c r="AP266" i="10"/>
  <c r="U266" i="10"/>
  <c r="AQ266" i="10" s="1"/>
  <c r="T266" i="10"/>
  <c r="M266" i="10"/>
  <c r="N266" i="10" s="1"/>
  <c r="G266" i="10"/>
  <c r="AY263" i="10"/>
  <c r="U263" i="10"/>
  <c r="AQ263" i="10" s="1"/>
  <c r="T263" i="10"/>
  <c r="M263" i="10"/>
  <c r="N263" i="10" s="1"/>
  <c r="AP263" i="10" s="1"/>
  <c r="G263" i="10"/>
  <c r="T521" i="10"/>
  <c r="P521" i="10"/>
  <c r="N521" i="10"/>
  <c r="G521" i="10"/>
  <c r="AQ521" i="10" s="1"/>
  <c r="T453" i="10"/>
  <c r="P453" i="10"/>
  <c r="N453" i="10"/>
  <c r="G453" i="10"/>
  <c r="AQ453" i="10" s="1"/>
  <c r="T322" i="10"/>
  <c r="N322" i="10"/>
  <c r="G322" i="10"/>
  <c r="AQ322" i="10" s="1"/>
  <c r="T255" i="10"/>
  <c r="N255" i="10"/>
  <c r="P255" i="10" s="1"/>
  <c r="G255" i="10"/>
  <c r="AQ255" i="10" s="1"/>
  <c r="T487" i="10"/>
  <c r="N487" i="10"/>
  <c r="G487" i="10"/>
  <c r="AS289" i="10"/>
  <c r="T289" i="10"/>
  <c r="N289" i="10"/>
  <c r="G289" i="10"/>
  <c r="AQ289" i="10" s="1"/>
  <c r="AP523" i="10"/>
  <c r="N523" i="10"/>
  <c r="M523" i="10"/>
  <c r="O523" i="10" s="1"/>
  <c r="G523" i="10"/>
  <c r="AQ523" i="10" s="1"/>
  <c r="O489" i="10"/>
  <c r="AQ489" i="10" s="1"/>
  <c r="N489" i="10"/>
  <c r="M489" i="10"/>
  <c r="G489" i="10"/>
  <c r="AQ455" i="10"/>
  <c r="N455" i="10"/>
  <c r="M455" i="10"/>
  <c r="O455" i="10" s="1"/>
  <c r="G455" i="10"/>
  <c r="AP455" i="10" s="1"/>
  <c r="N291" i="10"/>
  <c r="AP291" i="10" s="1"/>
  <c r="M291" i="10"/>
  <c r="G291" i="10"/>
  <c r="O257" i="10"/>
  <c r="N257" i="10"/>
  <c r="M257" i="10"/>
  <c r="G257" i="10"/>
  <c r="AP257" i="10" s="1"/>
  <c r="T418" i="10"/>
  <c r="O418" i="10"/>
  <c r="N418" i="10"/>
  <c r="M418" i="10"/>
  <c r="G418" i="10"/>
  <c r="AQ418" i="10" s="1"/>
  <c r="T349" i="10"/>
  <c r="O349" i="10"/>
  <c r="N349" i="10"/>
  <c r="G349" i="10"/>
  <c r="AQ349" i="10" s="1"/>
  <c r="AP517" i="10"/>
  <c r="G517" i="10"/>
  <c r="AQ517" i="10" s="1"/>
  <c r="G414" i="10"/>
  <c r="AQ414" i="10" s="1"/>
  <c r="AP522" i="10"/>
  <c r="O522" i="10"/>
  <c r="AQ522" i="10" s="1"/>
  <c r="G522" i="10"/>
  <c r="O488" i="10"/>
  <c r="G488" i="10"/>
  <c r="AP488" i="10" s="1"/>
  <c r="O454" i="10"/>
  <c r="M454" i="10"/>
  <c r="G454" i="10"/>
  <c r="O290" i="10"/>
  <c r="M290" i="10"/>
  <c r="G290" i="10"/>
  <c r="O256" i="10"/>
  <c r="G256" i="10"/>
  <c r="AP256" i="10" s="1"/>
  <c r="U534" i="10"/>
  <c r="T534" i="10"/>
  <c r="M534" i="10"/>
  <c r="N534" i="10" s="1"/>
  <c r="AP534" i="10" s="1"/>
  <c r="G534" i="10"/>
  <c r="U532" i="10"/>
  <c r="T532" i="10"/>
  <c r="M532" i="10"/>
  <c r="N532" i="10" s="1"/>
  <c r="AP532" i="10" s="1"/>
  <c r="G532" i="10"/>
  <c r="U531" i="10"/>
  <c r="T531" i="10"/>
  <c r="N531" i="10"/>
  <c r="AP531" i="10" s="1"/>
  <c r="M531" i="10"/>
  <c r="G531" i="10"/>
  <c r="U529" i="10"/>
  <c r="T529" i="10"/>
  <c r="M529" i="10"/>
  <c r="N529" i="10" s="1"/>
  <c r="AP529" i="10" s="1"/>
  <c r="G529" i="10"/>
  <c r="U502" i="10"/>
  <c r="T502" i="10"/>
  <c r="M502" i="10"/>
  <c r="N502" i="10" s="1"/>
  <c r="AP502" i="10" s="1"/>
  <c r="G502" i="10"/>
  <c r="U499" i="10"/>
  <c r="T499" i="10"/>
  <c r="M499" i="10"/>
  <c r="N499" i="10" s="1"/>
  <c r="AP499" i="10" s="1"/>
  <c r="G499" i="10"/>
  <c r="U497" i="10"/>
  <c r="T497" i="10"/>
  <c r="N497" i="10"/>
  <c r="AP497" i="10" s="1"/>
  <c r="M497" i="10"/>
  <c r="G497" i="10"/>
  <c r="U496" i="10"/>
  <c r="T496" i="10"/>
  <c r="N496" i="10"/>
  <c r="AP496" i="10" s="1"/>
  <c r="M496" i="10"/>
  <c r="G496" i="10"/>
  <c r="U494" i="10"/>
  <c r="T494" i="10"/>
  <c r="M494" i="10"/>
  <c r="N494" i="10" s="1"/>
  <c r="AP494" i="10" s="1"/>
  <c r="G494" i="10"/>
  <c r="U431" i="10"/>
  <c r="T431" i="10"/>
  <c r="M431" i="10"/>
  <c r="N431" i="10" s="1"/>
  <c r="AP431" i="10" s="1"/>
  <c r="G431" i="10"/>
  <c r="U428" i="10"/>
  <c r="T428" i="10"/>
  <c r="N428" i="10"/>
  <c r="AP428" i="10" s="1"/>
  <c r="M428" i="10"/>
  <c r="G428" i="10"/>
  <c r="U465" i="10"/>
  <c r="T465" i="10"/>
  <c r="M465" i="10"/>
  <c r="N465" i="10" s="1"/>
  <c r="AP465" i="10" s="1"/>
  <c r="G465" i="10"/>
  <c r="U463" i="10"/>
  <c r="T463" i="10"/>
  <c r="M463" i="10"/>
  <c r="N463" i="10" s="1"/>
  <c r="AP463" i="10" s="1"/>
  <c r="G463" i="10"/>
  <c r="U462" i="10"/>
  <c r="T462" i="10"/>
  <c r="M462" i="10"/>
  <c r="N462" i="10" s="1"/>
  <c r="AP462" i="10" s="1"/>
  <c r="G462" i="10"/>
  <c r="U460" i="10"/>
  <c r="T460" i="10"/>
  <c r="N460" i="10"/>
  <c r="AP460" i="10" s="1"/>
  <c r="M460" i="10"/>
  <c r="G460" i="10"/>
  <c r="U430" i="10"/>
  <c r="T430" i="10"/>
  <c r="N430" i="10"/>
  <c r="AP430" i="10" s="1"/>
  <c r="M430" i="10"/>
  <c r="G430" i="10"/>
  <c r="U399" i="10"/>
  <c r="T399" i="10"/>
  <c r="M399" i="10"/>
  <c r="N399" i="10" s="1"/>
  <c r="AP399" i="10" s="1"/>
  <c r="G399" i="10"/>
  <c r="U396" i="10"/>
  <c r="T396" i="10"/>
  <c r="M396" i="10"/>
  <c r="N396" i="10" s="1"/>
  <c r="AP396" i="10" s="1"/>
  <c r="G396" i="10"/>
  <c r="U395" i="10"/>
  <c r="T395" i="10"/>
  <c r="N395" i="10"/>
  <c r="AP395" i="10" s="1"/>
  <c r="M395" i="10"/>
  <c r="G395" i="10"/>
  <c r="U394" i="10"/>
  <c r="T394" i="10"/>
  <c r="M394" i="10"/>
  <c r="N394" i="10" s="1"/>
  <c r="AP394" i="10" s="1"/>
  <c r="G394" i="10"/>
  <c r="U392" i="10"/>
  <c r="T392" i="10"/>
  <c r="M392" i="10"/>
  <c r="N392" i="10" s="1"/>
  <c r="AP392" i="10" s="1"/>
  <c r="G392" i="10"/>
  <c r="U362" i="10"/>
  <c r="T362" i="10"/>
  <c r="M362" i="10"/>
  <c r="N362" i="10" s="1"/>
  <c r="AP362" i="10" s="1"/>
  <c r="G362" i="10"/>
  <c r="U360" i="10"/>
  <c r="T360" i="10"/>
  <c r="N360" i="10"/>
  <c r="AP360" i="10" s="1"/>
  <c r="M360" i="10"/>
  <c r="G360" i="10"/>
  <c r="U359" i="10"/>
  <c r="T359" i="10"/>
  <c r="N359" i="10"/>
  <c r="AP359" i="10" s="1"/>
  <c r="M359" i="10"/>
  <c r="G359" i="10"/>
  <c r="U328" i="10"/>
  <c r="T328" i="10"/>
  <c r="M328" i="10"/>
  <c r="N328" i="10" s="1"/>
  <c r="AP328" i="10" s="1"/>
  <c r="G328" i="10"/>
  <c r="U326" i="10"/>
  <c r="T326" i="10"/>
  <c r="M326" i="10"/>
  <c r="N326" i="10" s="1"/>
  <c r="AP326" i="10" s="1"/>
  <c r="G326" i="10"/>
  <c r="U304" i="10"/>
  <c r="T304" i="10"/>
  <c r="N304" i="10"/>
  <c r="AP304" i="10" s="1"/>
  <c r="M304" i="10"/>
  <c r="G304" i="10"/>
  <c r="U301" i="10"/>
  <c r="T301" i="10"/>
  <c r="M301" i="10"/>
  <c r="N301" i="10" s="1"/>
  <c r="AP301" i="10" s="1"/>
  <c r="G301" i="10"/>
  <c r="U299" i="10"/>
  <c r="T299" i="10"/>
  <c r="M299" i="10"/>
  <c r="N299" i="10" s="1"/>
  <c r="AP299" i="10" s="1"/>
  <c r="G299" i="10"/>
  <c r="U298" i="10"/>
  <c r="T298" i="10"/>
  <c r="M298" i="10"/>
  <c r="N298" i="10" s="1"/>
  <c r="AP298" i="10" s="1"/>
  <c r="G298" i="10"/>
  <c r="U296" i="10"/>
  <c r="T296" i="10"/>
  <c r="N296" i="10"/>
  <c r="AP296" i="10" s="1"/>
  <c r="M296" i="10"/>
  <c r="G296" i="10"/>
  <c r="U267" i="10"/>
  <c r="T267" i="10"/>
  <c r="N267" i="10"/>
  <c r="AP267" i="10" s="1"/>
  <c r="M267" i="10"/>
  <c r="G267" i="10"/>
  <c r="U265" i="10"/>
  <c r="T265" i="10"/>
  <c r="M265" i="10"/>
  <c r="N265" i="10" s="1"/>
  <c r="AP265" i="10" s="1"/>
  <c r="G265" i="10"/>
  <c r="U264" i="10"/>
  <c r="T264" i="10"/>
  <c r="M264" i="10"/>
  <c r="N264" i="10" s="1"/>
  <c r="AP264" i="10" s="1"/>
  <c r="G264" i="10"/>
  <c r="U262" i="10"/>
  <c r="T262" i="10"/>
  <c r="N262" i="10"/>
  <c r="AP262" i="10" s="1"/>
  <c r="M262" i="10"/>
  <c r="G262" i="10"/>
  <c r="T524" i="10"/>
  <c r="M524" i="10"/>
  <c r="N524" i="10" s="1"/>
  <c r="G524" i="10"/>
  <c r="AQ524" i="10" s="1"/>
  <c r="T490" i="10"/>
  <c r="N490" i="10"/>
  <c r="M490" i="10"/>
  <c r="G490" i="10"/>
  <c r="AQ490" i="10" s="1"/>
  <c r="T292" i="10"/>
  <c r="M292" i="10"/>
  <c r="N292" i="10" s="1"/>
  <c r="G292" i="10"/>
  <c r="T258" i="10"/>
  <c r="N258" i="10"/>
  <c r="M258" i="10"/>
  <c r="G258" i="10"/>
  <c r="AQ258" i="10" s="1"/>
  <c r="T456" i="10"/>
  <c r="M456" i="10"/>
  <c r="N456" i="10" s="1"/>
  <c r="G456" i="10"/>
  <c r="AQ456" i="10" s="1"/>
  <c r="T122" i="10"/>
  <c r="N122" i="10"/>
  <c r="G122" i="10"/>
  <c r="AQ122" i="10" s="1"/>
  <c r="T423" i="10"/>
  <c r="N423" i="10"/>
  <c r="M423" i="10"/>
  <c r="G423" i="10"/>
  <c r="T354" i="10"/>
  <c r="M354" i="10"/>
  <c r="N354" i="10" s="1"/>
  <c r="G354" i="10"/>
  <c r="N417" i="10"/>
  <c r="G417" i="10"/>
  <c r="T382" i="10"/>
  <c r="N382" i="10"/>
  <c r="G382" i="10"/>
  <c r="N348" i="10"/>
  <c r="G348" i="10"/>
  <c r="T424" i="10"/>
  <c r="N424" i="10"/>
  <c r="AP424" i="10" s="1"/>
  <c r="M424" i="10"/>
  <c r="G424" i="10"/>
  <c r="T389" i="10"/>
  <c r="M389" i="10"/>
  <c r="N389" i="10" s="1"/>
  <c r="G389" i="10"/>
  <c r="T355" i="10"/>
  <c r="M355" i="10"/>
  <c r="N355" i="10" s="1"/>
  <c r="G355" i="10"/>
  <c r="G516" i="10"/>
  <c r="AP516" i="10" s="1"/>
  <c r="G413" i="10"/>
  <c r="AP413" i="10" s="1"/>
  <c r="N480" i="10"/>
  <c r="G480" i="10"/>
  <c r="N377" i="10"/>
  <c r="AP377" i="10" s="1"/>
  <c r="G377" i="10"/>
  <c r="N282" i="10"/>
  <c r="G282" i="10"/>
  <c r="N446" i="10"/>
  <c r="G446" i="10"/>
  <c r="N342" i="10"/>
  <c r="G342" i="10"/>
  <c r="N248" i="10"/>
  <c r="G248" i="10"/>
  <c r="AP215" i="10"/>
  <c r="T215" i="10"/>
  <c r="N215" i="10"/>
  <c r="G215" i="10"/>
  <c r="AP209" i="10"/>
  <c r="T209" i="10"/>
  <c r="N209" i="10"/>
  <c r="G209" i="10"/>
  <c r="AP181" i="10"/>
  <c r="N181" i="10"/>
  <c r="G181" i="10"/>
  <c r="N180" i="10"/>
  <c r="G180" i="10"/>
  <c r="G164" i="10"/>
  <c r="AP164" i="10" s="1"/>
  <c r="G161" i="10"/>
  <c r="AP161" i="10" s="1"/>
  <c r="T132" i="10"/>
  <c r="N132" i="10"/>
  <c r="G132" i="10"/>
  <c r="G100" i="10"/>
  <c r="G442" i="10"/>
  <c r="G244" i="10"/>
  <c r="G476" i="10"/>
  <c r="G373" i="10"/>
  <c r="G278" i="10"/>
  <c r="U223" i="10"/>
  <c r="T223" i="10"/>
  <c r="O223" i="10"/>
  <c r="N223" i="10"/>
  <c r="G223" i="10"/>
  <c r="U219" i="10"/>
  <c r="O219" i="10"/>
  <c r="G219" i="10"/>
  <c r="V194" i="10"/>
  <c r="P194" i="10"/>
  <c r="O194" i="10"/>
  <c r="N194" i="10"/>
  <c r="G194" i="10"/>
  <c r="M170" i="10"/>
  <c r="O170" i="10" s="1"/>
  <c r="G170" i="10"/>
  <c r="AM170" i="10" s="1"/>
  <c r="AM193" i="10"/>
  <c r="T193" i="10"/>
  <c r="N193" i="10"/>
  <c r="O193" i="10" s="1"/>
  <c r="G193" i="10"/>
  <c r="AT193" i="10" s="1"/>
  <c r="U133" i="10"/>
  <c r="T133" i="10"/>
  <c r="O133" i="10"/>
  <c r="G133" i="10"/>
  <c r="AM133" i="10" s="1"/>
  <c r="U111" i="10"/>
  <c r="T111" i="10"/>
  <c r="P111" i="10"/>
  <c r="N111" i="10"/>
  <c r="G111" i="10"/>
  <c r="U108" i="10"/>
  <c r="T108" i="10"/>
  <c r="N108" i="10"/>
  <c r="O108" i="10" s="1"/>
  <c r="G108" i="10"/>
  <c r="AT108" i="10" s="1"/>
  <c r="U107" i="10"/>
  <c r="T107" i="10"/>
  <c r="P107" i="10"/>
  <c r="O107" i="10"/>
  <c r="N107" i="10"/>
  <c r="G107" i="10"/>
  <c r="AT107" i="10" s="1"/>
  <c r="AP106" i="10"/>
  <c r="G106" i="10"/>
  <c r="AT106" i="10" s="1"/>
  <c r="U105" i="10"/>
  <c r="T105" i="10"/>
  <c r="P105" i="10"/>
  <c r="M105" i="10"/>
  <c r="O105" i="10" s="1"/>
  <c r="G105" i="10"/>
  <c r="AM105" i="10" s="1"/>
  <c r="U104" i="10"/>
  <c r="T104" i="10"/>
  <c r="P104" i="10"/>
  <c r="AT104" i="10" s="1"/>
  <c r="O104" i="10"/>
  <c r="G104" i="10"/>
  <c r="AM104" i="10" s="1"/>
  <c r="U103" i="10"/>
  <c r="T103" i="10"/>
  <c r="O103" i="10"/>
  <c r="G103" i="10"/>
  <c r="U102" i="10"/>
  <c r="T102" i="10"/>
  <c r="M102" i="10"/>
  <c r="O102" i="10" s="1"/>
  <c r="G102" i="10"/>
  <c r="AT102" i="10" s="1"/>
  <c r="U110" i="10"/>
  <c r="T110" i="10"/>
  <c r="O110" i="10"/>
  <c r="G110" i="10"/>
  <c r="AS110" i="10" s="1"/>
  <c r="U515" i="10"/>
  <c r="P515" i="10"/>
  <c r="O515" i="10"/>
  <c r="N515" i="10"/>
  <c r="G515" i="10"/>
  <c r="AR515" i="10" s="1"/>
  <c r="U412" i="10"/>
  <c r="P412" i="10"/>
  <c r="O412" i="10"/>
  <c r="AP412" i="10" s="1"/>
  <c r="N412" i="10"/>
  <c r="G412" i="10"/>
  <c r="AR412" i="10" s="1"/>
  <c r="U378" i="10"/>
  <c r="P378" i="10"/>
  <c r="N378" i="10"/>
  <c r="G378" i="10"/>
  <c r="U343" i="10"/>
  <c r="P343" i="10"/>
  <c r="O343" i="10" s="1"/>
  <c r="AP343" i="10" s="1"/>
  <c r="N343" i="10"/>
  <c r="G343" i="10"/>
  <c r="U316" i="10"/>
  <c r="P316" i="10"/>
  <c r="O316" i="10"/>
  <c r="N316" i="10"/>
  <c r="G316" i="10"/>
  <c r="AR316" i="10" s="1"/>
  <c r="U249" i="10"/>
  <c r="P249" i="10"/>
  <c r="O249" i="10"/>
  <c r="N249" i="10"/>
  <c r="G249" i="10"/>
  <c r="AR249" i="10" s="1"/>
  <c r="U481" i="10"/>
  <c r="P481" i="10"/>
  <c r="N481" i="10"/>
  <c r="G481" i="10"/>
  <c r="U447" i="10"/>
  <c r="P447" i="10"/>
  <c r="AR447" i="10" s="1"/>
  <c r="O447" i="10"/>
  <c r="AP447" i="10" s="1"/>
  <c r="N447" i="10"/>
  <c r="G447" i="10"/>
  <c r="U283" i="10"/>
  <c r="P283" i="10"/>
  <c r="O283" i="10"/>
  <c r="N283" i="10"/>
  <c r="G283" i="10"/>
  <c r="AR283" i="10" s="1"/>
  <c r="V314" i="10"/>
  <c r="O314" i="10"/>
  <c r="P314" i="10" s="1"/>
  <c r="N314" i="10"/>
  <c r="G314" i="10"/>
  <c r="AP314" i="10" s="1"/>
  <c r="V513" i="10"/>
  <c r="P513" i="10"/>
  <c r="O513" i="10"/>
  <c r="N513" i="10"/>
  <c r="G513" i="10"/>
  <c r="AP513" i="10" s="1"/>
  <c r="V410" i="10"/>
  <c r="O410" i="10"/>
  <c r="N410" i="10"/>
  <c r="G410" i="10"/>
  <c r="G483" i="10"/>
  <c r="AM483" i="10" s="1"/>
  <c r="G449" i="10"/>
  <c r="AP449" i="10" s="1"/>
  <c r="G380" i="10"/>
  <c r="AP380" i="10" s="1"/>
  <c r="G345" i="10"/>
  <c r="G318" i="10"/>
  <c r="AP318" i="10" s="1"/>
  <c r="AP285" i="10"/>
  <c r="G285" i="10"/>
  <c r="AM285" i="10" s="1"/>
  <c r="G251" i="10"/>
  <c r="AP251" i="10" s="1"/>
  <c r="G482" i="10"/>
  <c r="AM482" i="10" s="1"/>
  <c r="AP448" i="10"/>
  <c r="G448" i="10"/>
  <c r="AM448" i="10" s="1"/>
  <c r="G284" i="10"/>
  <c r="AP284" i="10" s="1"/>
  <c r="G250" i="10"/>
  <c r="AP250" i="10" s="1"/>
  <c r="G379" i="10"/>
  <c r="G344" i="10"/>
  <c r="AP344" i="10" s="1"/>
  <c r="AP317" i="10"/>
  <c r="G317" i="10"/>
  <c r="AM317" i="10" s="1"/>
  <c r="O514" i="10"/>
  <c r="AP514" i="10" s="1"/>
  <c r="N514" i="10"/>
  <c r="M514" i="10"/>
  <c r="G514" i="10"/>
  <c r="AM514" i="10" s="1"/>
  <c r="N411" i="10"/>
  <c r="M411" i="10"/>
  <c r="O411" i="10" s="1"/>
  <c r="G411" i="10"/>
  <c r="N315" i="10"/>
  <c r="M315" i="10"/>
  <c r="G315" i="10"/>
  <c r="U232" i="10"/>
  <c r="M232" i="10"/>
  <c r="O232" i="10" s="1"/>
  <c r="G232" i="10"/>
  <c r="AM232" i="10" s="1"/>
  <c r="U231" i="10"/>
  <c r="O231" i="10"/>
  <c r="M231" i="10"/>
  <c r="G231" i="10"/>
  <c r="AM231" i="10" s="1"/>
  <c r="T230" i="10"/>
  <c r="O230" i="10"/>
  <c r="AP230" i="10" s="1"/>
  <c r="N230" i="10"/>
  <c r="G230" i="10"/>
  <c r="AM230" i="10" s="1"/>
  <c r="T229" i="10"/>
  <c r="O229" i="10"/>
  <c r="N229" i="10"/>
  <c r="G229" i="10"/>
  <c r="AM229" i="10" s="1"/>
  <c r="T228" i="10"/>
  <c r="O228" i="10"/>
  <c r="AP228" i="10" s="1"/>
  <c r="N228" i="10"/>
  <c r="G228" i="10"/>
  <c r="T227" i="10"/>
  <c r="O227" i="10"/>
  <c r="AP227" i="10" s="1"/>
  <c r="N227" i="10"/>
  <c r="G227" i="10"/>
  <c r="T226" i="10"/>
  <c r="O226" i="10"/>
  <c r="N226" i="10"/>
  <c r="G226" i="10"/>
  <c r="G211" i="10"/>
  <c r="AP211" i="10" s="1"/>
  <c r="U210" i="10"/>
  <c r="N210" i="10"/>
  <c r="M210" i="10"/>
  <c r="G210" i="10"/>
  <c r="N185" i="10"/>
  <c r="AM185" i="10" s="1"/>
  <c r="M185" i="10"/>
  <c r="O185" i="10" s="1"/>
  <c r="G185" i="10"/>
  <c r="T174" i="10"/>
  <c r="O174" i="10"/>
  <c r="AP174" i="10" s="1"/>
  <c r="N174" i="10"/>
  <c r="M174" i="10"/>
  <c r="G174" i="10"/>
  <c r="AM174" i="10" s="1"/>
  <c r="U157" i="10"/>
  <c r="M157" i="10"/>
  <c r="O157" i="10" s="1"/>
  <c r="G157" i="10"/>
  <c r="AM157" i="10" s="1"/>
  <c r="U143" i="10"/>
  <c r="T143" i="10"/>
  <c r="M143" i="10"/>
  <c r="O143" i="10" s="1"/>
  <c r="G143" i="10"/>
  <c r="AM143" i="10" s="1"/>
  <c r="AM135" i="10"/>
  <c r="U135" i="10"/>
  <c r="T135" i="10"/>
  <c r="G135" i="10"/>
  <c r="AP135" i="10" s="1"/>
  <c r="AP134" i="10"/>
  <c r="U134" i="10"/>
  <c r="T134" i="10"/>
  <c r="G134" i="10"/>
  <c r="AM134" i="10" s="1"/>
  <c r="U109" i="10"/>
  <c r="T109" i="10"/>
  <c r="N109" i="10"/>
  <c r="O109" i="10" s="1"/>
  <c r="G109" i="10"/>
  <c r="G101" i="10"/>
  <c r="G511" i="10"/>
  <c r="G408" i="10"/>
  <c r="G443" i="10"/>
  <c r="G339" i="10"/>
  <c r="G338" i="10"/>
  <c r="G245" i="10"/>
  <c r="V518" i="10"/>
  <c r="R518" i="10"/>
  <c r="Q518" i="10"/>
  <c r="O518" i="10"/>
  <c r="N518" i="10"/>
  <c r="M518" i="10"/>
  <c r="P518" i="10" s="1"/>
  <c r="G518" i="10"/>
  <c r="V484" i="10"/>
  <c r="R484" i="10"/>
  <c r="Q484" i="10"/>
  <c r="P484" i="10"/>
  <c r="O484" i="10"/>
  <c r="N484" i="10"/>
  <c r="M484" i="10"/>
  <c r="G484" i="10"/>
  <c r="AQ484" i="10" s="1"/>
  <c r="V450" i="10"/>
  <c r="R450" i="10"/>
  <c r="Q450" i="10"/>
  <c r="O450" i="10"/>
  <c r="N450" i="10"/>
  <c r="M450" i="10"/>
  <c r="P450" i="10" s="1"/>
  <c r="G450" i="10"/>
  <c r="V415" i="10"/>
  <c r="R415" i="10"/>
  <c r="Q415" i="10"/>
  <c r="P415" i="10"/>
  <c r="O415" i="10"/>
  <c r="N415" i="10"/>
  <c r="M415" i="10"/>
  <c r="G415" i="10"/>
  <c r="AN415" i="10" s="1"/>
  <c r="V381" i="10"/>
  <c r="R381" i="10"/>
  <c r="Q381" i="10"/>
  <c r="O381" i="10"/>
  <c r="AN381" i="10" s="1"/>
  <c r="N381" i="10"/>
  <c r="M381" i="10"/>
  <c r="G381" i="10"/>
  <c r="AZ346" i="10"/>
  <c r="V346" i="10"/>
  <c r="R346" i="10"/>
  <c r="P346" i="10" s="1"/>
  <c r="Q346" i="10"/>
  <c r="O346" i="10"/>
  <c r="N346" i="10"/>
  <c r="AM346" i="10" s="1"/>
  <c r="M346" i="10"/>
  <c r="G346" i="10"/>
  <c r="AQ346" i="10" s="1"/>
  <c r="AQ319" i="10"/>
  <c r="AM319" i="10"/>
  <c r="V319" i="10"/>
  <c r="O319" i="10"/>
  <c r="N319" i="10"/>
  <c r="M319" i="10"/>
  <c r="G319" i="10"/>
  <c r="AZ319" i="10" s="1"/>
  <c r="V286" i="10"/>
  <c r="R286" i="10"/>
  <c r="Q286" i="10"/>
  <c r="O286" i="10"/>
  <c r="N286" i="10"/>
  <c r="M286" i="10"/>
  <c r="G286" i="10"/>
  <c r="AQ286" i="10" s="1"/>
  <c r="V252" i="10"/>
  <c r="R252" i="10"/>
  <c r="Q252" i="10"/>
  <c r="P252" i="10"/>
  <c r="O252" i="10"/>
  <c r="N252" i="10"/>
  <c r="M252" i="10"/>
  <c r="G252" i="10"/>
  <c r="AZ252" i="10" s="1"/>
  <c r="G509" i="10"/>
  <c r="G406" i="10"/>
  <c r="G311" i="10"/>
  <c r="G475" i="10"/>
  <c r="G372" i="10"/>
  <c r="G277" i="10"/>
  <c r="G441" i="10"/>
  <c r="G337" i="10"/>
  <c r="G243" i="10"/>
  <c r="V236" i="10"/>
  <c r="M236" i="10"/>
  <c r="P236" i="10" s="1"/>
  <c r="G236" i="10"/>
  <c r="T471" i="10"/>
  <c r="Q471" i="10"/>
  <c r="P471" i="10"/>
  <c r="N471" i="10"/>
  <c r="M471" i="10"/>
  <c r="G471" i="10"/>
  <c r="AZ471" i="10" s="1"/>
  <c r="T437" i="10"/>
  <c r="Q437" i="10"/>
  <c r="P437" i="10"/>
  <c r="M437" i="10"/>
  <c r="G437" i="10"/>
  <c r="AO437" i="10" s="1"/>
  <c r="T402" i="10"/>
  <c r="Q402" i="10"/>
  <c r="P402" i="10"/>
  <c r="M402" i="10"/>
  <c r="N402" i="10" s="1"/>
  <c r="G402" i="10"/>
  <c r="AN402" i="10" s="1"/>
  <c r="T368" i="10"/>
  <c r="Q368" i="10"/>
  <c r="P368" i="10"/>
  <c r="M368" i="10"/>
  <c r="G368" i="10"/>
  <c r="AN368" i="10" s="1"/>
  <c r="T333" i="10"/>
  <c r="Q333" i="10"/>
  <c r="P333" i="10"/>
  <c r="M333" i="10"/>
  <c r="N333" i="10" s="1"/>
  <c r="G333" i="10"/>
  <c r="AN333" i="10" s="1"/>
  <c r="T307" i="10"/>
  <c r="Q307" i="10"/>
  <c r="P307" i="10"/>
  <c r="M307" i="10"/>
  <c r="N307" i="10" s="1"/>
  <c r="G307" i="10"/>
  <c r="AN307" i="10" s="1"/>
  <c r="T273" i="10"/>
  <c r="Q273" i="10"/>
  <c r="P273" i="10"/>
  <c r="AO273" i="10" s="1"/>
  <c r="M273" i="10"/>
  <c r="N273" i="10" s="1"/>
  <c r="G273" i="10"/>
  <c r="AN273" i="10" s="1"/>
  <c r="T239" i="10"/>
  <c r="Q239" i="10"/>
  <c r="P239" i="10"/>
  <c r="M239" i="10"/>
  <c r="N239" i="10" s="1"/>
  <c r="G239" i="10"/>
  <c r="AN239" i="10" s="1"/>
  <c r="T189" i="10"/>
  <c r="P189" i="10"/>
  <c r="M189" i="10"/>
  <c r="N189" i="10" s="1"/>
  <c r="G189" i="10"/>
  <c r="T129" i="10"/>
  <c r="P129" i="10"/>
  <c r="M129" i="10"/>
  <c r="N129" i="10" s="1"/>
  <c r="G129" i="10"/>
  <c r="AN129" i="10" s="1"/>
  <c r="T95" i="10"/>
  <c r="P95" i="10"/>
  <c r="M95" i="10"/>
  <c r="N95" i="10" s="1"/>
  <c r="G95" i="10"/>
  <c r="G207" i="10"/>
  <c r="G206" i="10"/>
  <c r="M235" i="10"/>
  <c r="N235" i="10" s="1"/>
  <c r="G235" i="10"/>
  <c r="N234" i="10"/>
  <c r="AM234" i="10" s="1"/>
  <c r="M234" i="10"/>
  <c r="G234" i="10"/>
  <c r="T205" i="10"/>
  <c r="N205" i="10"/>
  <c r="AM205" i="10" s="1"/>
  <c r="G205" i="10"/>
  <c r="O150" i="10"/>
  <c r="G150" i="10"/>
  <c r="AL150" i="10" s="1"/>
  <c r="AL167" i="10"/>
  <c r="G167" i="10"/>
  <c r="AX167" i="10" s="1"/>
  <c r="P166" i="10"/>
  <c r="N166" i="10"/>
  <c r="M166" i="10"/>
  <c r="O166" i="10" s="1"/>
  <c r="G166" i="10"/>
  <c r="AX166" i="10" s="1"/>
  <c r="O163" i="10"/>
  <c r="N163" i="10"/>
  <c r="M163" i="10"/>
  <c r="P163" i="10" s="1"/>
  <c r="G163" i="10"/>
  <c r="AL163" i="10" s="1"/>
  <c r="V479" i="10"/>
  <c r="O479" i="10"/>
  <c r="P479" i="10" s="1"/>
  <c r="AR479" i="10" s="1"/>
  <c r="N479" i="10"/>
  <c r="G479" i="10"/>
  <c r="AL479" i="10" s="1"/>
  <c r="V376" i="10"/>
  <c r="O376" i="10"/>
  <c r="N376" i="10"/>
  <c r="G376" i="10"/>
  <c r="AL376" i="10" s="1"/>
  <c r="V281" i="10"/>
  <c r="O281" i="10"/>
  <c r="N281" i="10"/>
  <c r="G281" i="10"/>
  <c r="AL281" i="10" s="1"/>
  <c r="O202" i="10"/>
  <c r="G202" i="10"/>
  <c r="N198" i="10"/>
  <c r="G198" i="10"/>
  <c r="N197" i="10"/>
  <c r="M197" i="10"/>
  <c r="G197" i="10"/>
  <c r="AP197" i="10" s="1"/>
  <c r="O184" i="10"/>
  <c r="G184" i="10"/>
  <c r="AL184" i="10" s="1"/>
  <c r="O183" i="10"/>
  <c r="G183" i="10"/>
  <c r="AL183" i="10" s="1"/>
  <c r="O182" i="10"/>
  <c r="G182" i="10"/>
  <c r="AL182" i="10" s="1"/>
  <c r="N179" i="10"/>
  <c r="G179" i="10"/>
  <c r="AP179" i="10" s="1"/>
  <c r="N175" i="10"/>
  <c r="G175" i="10"/>
  <c r="G165" i="10"/>
  <c r="G162" i="10"/>
  <c r="AP162" i="10" s="1"/>
  <c r="G156" i="10"/>
  <c r="T153" i="10"/>
  <c r="N153" i="10"/>
  <c r="M153" i="10"/>
  <c r="G153" i="10"/>
  <c r="G510" i="10"/>
  <c r="G407" i="10"/>
  <c r="V477" i="10"/>
  <c r="T477" i="10"/>
  <c r="Q477" i="10"/>
  <c r="P477" i="10"/>
  <c r="O477" i="10"/>
  <c r="G477" i="10"/>
  <c r="AL477" i="10" s="1"/>
  <c r="V279" i="10"/>
  <c r="T279" i="10"/>
  <c r="Q279" i="10"/>
  <c r="O279" i="10"/>
  <c r="P279" i="10" s="1"/>
  <c r="AO279" i="10" s="1"/>
  <c r="G279" i="10"/>
  <c r="T505" i="10"/>
  <c r="Q505" i="10"/>
  <c r="P505" i="10"/>
  <c r="N505" i="10"/>
  <c r="M505" i="10"/>
  <c r="G505" i="10"/>
  <c r="AZ505" i="10" s="1"/>
  <c r="V374" i="10"/>
  <c r="T374" i="10"/>
  <c r="Q374" i="10"/>
  <c r="O374" i="10"/>
  <c r="G374" i="10"/>
  <c r="X140" i="10"/>
  <c r="U140" i="10"/>
  <c r="T140" i="10"/>
  <c r="Q140" i="10"/>
  <c r="AS140" i="10" s="1"/>
  <c r="P140" i="10"/>
  <c r="AP140" i="10" s="1"/>
  <c r="O140" i="10"/>
  <c r="AM140" i="10" s="1"/>
  <c r="N140" i="10"/>
  <c r="AL140" i="10" s="1"/>
  <c r="M140" i="10"/>
  <c r="AM225" i="10"/>
  <c r="U225" i="10"/>
  <c r="T225" i="10"/>
  <c r="P225" i="10"/>
  <c r="AP225" i="10" s="1"/>
  <c r="N225" i="10"/>
  <c r="AL192" i="10"/>
  <c r="U192" i="10"/>
  <c r="T192" i="10"/>
  <c r="O192" i="10"/>
  <c r="AM192" i="10" s="1"/>
  <c r="M192" i="10"/>
  <c r="AL99" i="10"/>
  <c r="V99" i="10"/>
  <c r="U99" i="10"/>
  <c r="O99" i="10"/>
  <c r="AM99" i="10" s="1"/>
  <c r="M99" i="10"/>
  <c r="W508" i="10"/>
  <c r="T508" i="10"/>
  <c r="R508" i="10"/>
  <c r="P508" i="10"/>
  <c r="AN508" i="10" s="1"/>
  <c r="O508" i="10"/>
  <c r="AM508" i="10" s="1"/>
  <c r="N508" i="10"/>
  <c r="AL508" i="10" s="1"/>
  <c r="AM405" i="10"/>
  <c r="W405" i="10"/>
  <c r="T405" i="10"/>
  <c r="R405" i="10"/>
  <c r="P405" i="10"/>
  <c r="AN405" i="10" s="1"/>
  <c r="O405" i="10"/>
  <c r="N405" i="10"/>
  <c r="AL405" i="10" s="1"/>
  <c r="AN310" i="10"/>
  <c r="W310" i="10"/>
  <c r="T310" i="10"/>
  <c r="R310" i="10"/>
  <c r="P310" i="10"/>
  <c r="O310" i="10"/>
  <c r="AM310" i="10" s="1"/>
  <c r="N310" i="10"/>
  <c r="AL310" i="10" s="1"/>
  <c r="W440" i="10"/>
  <c r="T440" i="10"/>
  <c r="R440" i="10"/>
  <c r="AZ440" i="10" s="1"/>
  <c r="P440" i="10"/>
  <c r="AN440" i="10" s="1"/>
  <c r="O440" i="10"/>
  <c r="AM440" i="10" s="1"/>
  <c r="N440" i="10"/>
  <c r="AM336" i="10"/>
  <c r="W336" i="10"/>
  <c r="T336" i="10"/>
  <c r="R336" i="10"/>
  <c r="AZ336" i="10" s="1"/>
  <c r="P336" i="10"/>
  <c r="AN336" i="10" s="1"/>
  <c r="O336" i="10"/>
  <c r="N336" i="10"/>
  <c r="AM242" i="10"/>
  <c r="W242" i="10"/>
  <c r="T242" i="10"/>
  <c r="R242" i="10"/>
  <c r="AZ242" i="10" s="1"/>
  <c r="P242" i="10"/>
  <c r="AN242" i="10" s="1"/>
  <c r="O242" i="10"/>
  <c r="N242" i="10"/>
  <c r="AN208" i="10"/>
  <c r="AM208" i="10"/>
  <c r="W208" i="10"/>
  <c r="U208" i="10"/>
  <c r="P208" i="10"/>
  <c r="O208" i="10"/>
  <c r="N208" i="10"/>
  <c r="AL208" i="10" s="1"/>
  <c r="M208" i="10"/>
  <c r="Q208" i="10" s="1"/>
  <c r="AP208" i="10" s="1"/>
  <c r="AL151" i="10"/>
  <c r="M151" i="10"/>
  <c r="N125" i="10"/>
  <c r="AL125" i="10" s="1"/>
  <c r="M125" i="10"/>
  <c r="AK30" i="10"/>
  <c r="AH30" i="10"/>
  <c r="T30" i="10"/>
  <c r="M30" i="10"/>
  <c r="N30" i="10" s="1"/>
  <c r="Z30" i="10" s="1"/>
  <c r="AN46" i="10"/>
  <c r="AM46" i="10"/>
  <c r="AF46" i="10"/>
  <c r="T46" i="10"/>
  <c r="N46" i="10"/>
  <c r="Z46" i="10" s="1"/>
  <c r="M46" i="10"/>
  <c r="AN7" i="10"/>
  <c r="AM7" i="10"/>
  <c r="AF7" i="10"/>
  <c r="T7" i="10"/>
  <c r="M7" i="10"/>
  <c r="N7" i="10" s="1"/>
  <c r="Z7" i="10" s="1"/>
  <c r="T65" i="10"/>
  <c r="P65" i="10"/>
  <c r="AJ65" i="10" s="1"/>
  <c r="O65" i="10"/>
  <c r="AE65" i="10" s="1"/>
  <c r="N65" i="10"/>
  <c r="Z65" i="10" s="1"/>
  <c r="M65" i="10"/>
  <c r="U89" i="10"/>
  <c r="AE89" i="10" s="1"/>
  <c r="Q89" i="10"/>
  <c r="AJ89" i="10" s="1"/>
  <c r="P89" i="10"/>
  <c r="AH89" i="10" s="1"/>
  <c r="O89" i="10"/>
  <c r="N89" i="10"/>
  <c r="Z89" i="10" s="1"/>
  <c r="M89" i="10"/>
  <c r="AK61" i="10"/>
  <c r="AH61" i="10"/>
  <c r="T61" i="10"/>
  <c r="Z61" i="10" s="1"/>
  <c r="N61" i="10"/>
  <c r="M61" i="10"/>
  <c r="O61" i="10" s="1"/>
  <c r="AE61" i="10" s="1"/>
  <c r="AN71" i="10"/>
  <c r="AM71" i="10"/>
  <c r="U71" i="10"/>
  <c r="T71" i="10"/>
  <c r="P71" i="10"/>
  <c r="AF71" i="10" s="1"/>
  <c r="O71" i="10"/>
  <c r="AE71" i="10" s="1"/>
  <c r="M71" i="10"/>
  <c r="N71" i="10" s="1"/>
  <c r="Z71" i="10" s="1"/>
  <c r="U80" i="10"/>
  <c r="O80" i="10"/>
  <c r="AE80" i="10" s="1"/>
  <c r="O52" i="10"/>
  <c r="AE52" i="10" s="1"/>
  <c r="N52" i="10"/>
  <c r="Z52" i="10" s="1"/>
  <c r="M52" i="10"/>
  <c r="T85" i="10"/>
  <c r="P85" i="10"/>
  <c r="AK85" i="10" s="1"/>
  <c r="N85" i="10"/>
  <c r="Z85" i="10" s="1"/>
  <c r="M85" i="10"/>
  <c r="O85" i="10" s="1"/>
  <c r="AE85" i="10" s="1"/>
  <c r="U81" i="10"/>
  <c r="P81" i="10"/>
  <c r="AK81" i="10" s="1"/>
  <c r="N81" i="10"/>
  <c r="Z81" i="10" s="1"/>
  <c r="M81" i="10"/>
  <c r="O81" i="10" s="1"/>
  <c r="AE81" i="10" s="1"/>
  <c r="T26" i="10"/>
  <c r="P26" i="10"/>
  <c r="AK26" i="10" s="1"/>
  <c r="O26" i="10"/>
  <c r="AE26" i="10" s="1"/>
  <c r="N26" i="10"/>
  <c r="Z26" i="10" s="1"/>
  <c r="M26" i="10"/>
  <c r="Z78" i="10"/>
  <c r="U78" i="10"/>
  <c r="N78" i="10"/>
  <c r="M78" i="10"/>
  <c r="O78" i="10" s="1"/>
  <c r="AE78" i="10" s="1"/>
  <c r="U77" i="10"/>
  <c r="O77" i="10"/>
  <c r="AE77" i="10" s="1"/>
  <c r="N77" i="10"/>
  <c r="Z77" i="10" s="1"/>
  <c r="U76" i="10"/>
  <c r="O76" i="10"/>
  <c r="AE76" i="10" s="1"/>
  <c r="N76" i="10"/>
  <c r="Z76" i="10" s="1"/>
  <c r="Z75" i="10"/>
  <c r="U75" i="10"/>
  <c r="O75" i="10"/>
  <c r="AE75" i="10" s="1"/>
  <c r="N75" i="10"/>
  <c r="U74" i="10"/>
  <c r="T74" i="10"/>
  <c r="N74" i="10"/>
  <c r="Z74" i="10" s="1"/>
  <c r="M74" i="10"/>
  <c r="O74" i="10" s="1"/>
  <c r="AE74" i="10" s="1"/>
  <c r="Z60" i="10"/>
  <c r="U60" i="10"/>
  <c r="O60" i="10"/>
  <c r="AE60" i="10" s="1"/>
  <c r="Z58" i="10"/>
  <c r="U58" i="10"/>
  <c r="O58" i="10"/>
  <c r="N58" i="10"/>
  <c r="Z57" i="10"/>
  <c r="U57" i="10"/>
  <c r="N57" i="10"/>
  <c r="M57" i="10"/>
  <c r="O57" i="10" s="1"/>
  <c r="AE57" i="10" s="1"/>
  <c r="AE56" i="10"/>
  <c r="U56" i="10"/>
  <c r="O56" i="10"/>
  <c r="N56" i="10"/>
  <c r="Z56" i="10" s="1"/>
  <c r="Z55" i="10"/>
  <c r="U55" i="10"/>
  <c r="O55" i="10"/>
  <c r="AE55" i="10" s="1"/>
  <c r="N55" i="10"/>
  <c r="Z51" i="10"/>
  <c r="U51" i="10"/>
  <c r="T51" i="10"/>
  <c r="O51" i="10"/>
  <c r="AE51" i="10" s="1"/>
  <c r="M51" i="10"/>
  <c r="U50" i="10"/>
  <c r="T50" i="10"/>
  <c r="N50" i="10"/>
  <c r="M50" i="10"/>
  <c r="O50" i="10" s="1"/>
  <c r="AE50" i="10" s="1"/>
  <c r="U49" i="10"/>
  <c r="T49" i="10"/>
  <c r="O49" i="10"/>
  <c r="AE49" i="10" s="1"/>
  <c r="N49" i="10"/>
  <c r="Z49" i="10" s="1"/>
  <c r="M49" i="10"/>
  <c r="AE40" i="10"/>
  <c r="U40" i="10"/>
  <c r="M40" i="10"/>
  <c r="N40" i="10" s="1"/>
  <c r="Z40" i="10" s="1"/>
  <c r="Z38" i="10"/>
  <c r="U38" i="10"/>
  <c r="N38" i="10"/>
  <c r="O38" i="10" s="1"/>
  <c r="AE38" i="10" s="1"/>
  <c r="U37" i="10"/>
  <c r="N37" i="10"/>
  <c r="Z37" i="10" s="1"/>
  <c r="Z36" i="10"/>
  <c r="U36" i="10"/>
  <c r="O36" i="10"/>
  <c r="AE36" i="10" s="1"/>
  <c r="Z35" i="10"/>
  <c r="U35" i="10"/>
  <c r="O35" i="10"/>
  <c r="N35" i="10"/>
  <c r="U34" i="10"/>
  <c r="T34" i="10"/>
  <c r="O34" i="10"/>
  <c r="AE34" i="10" s="1"/>
  <c r="N34" i="10"/>
  <c r="Z34" i="10" s="1"/>
  <c r="U21" i="10"/>
  <c r="N21" i="10"/>
  <c r="Z21" i="10" s="1"/>
  <c r="M21" i="10"/>
  <c r="Z20" i="10"/>
  <c r="U20" i="10"/>
  <c r="N20" i="10"/>
  <c r="M20" i="10"/>
  <c r="O20" i="10" s="1"/>
  <c r="AE20" i="10" s="1"/>
  <c r="AE19" i="10"/>
  <c r="Z19" i="10"/>
  <c r="U19" i="10"/>
  <c r="O19" i="10"/>
  <c r="AE18" i="10"/>
  <c r="Z18" i="10"/>
  <c r="U18" i="10"/>
  <c r="O18" i="10"/>
  <c r="AE17" i="10"/>
  <c r="Z17" i="10"/>
  <c r="U17" i="10"/>
  <c r="O17" i="10"/>
  <c r="U16" i="10"/>
  <c r="T16" i="10"/>
  <c r="O16" i="10"/>
  <c r="N16" i="10"/>
  <c r="Z16" i="10" s="1"/>
  <c r="U15" i="10"/>
  <c r="N15" i="10"/>
  <c r="O15" i="10" s="1"/>
  <c r="AE15" i="10" s="1"/>
  <c r="AE14" i="10"/>
  <c r="U14" i="10"/>
  <c r="O14" i="10"/>
  <c r="N14" i="10"/>
  <c r="Z14" i="10" s="1"/>
  <c r="M14" i="10"/>
  <c r="U13" i="10"/>
  <c r="AE13" i="10" s="1"/>
  <c r="N13" i="10"/>
  <c r="Z13" i="10" s="1"/>
  <c r="Z12" i="10"/>
  <c r="U12" i="10"/>
  <c r="O12" i="10"/>
  <c r="AE12" i="10" s="1"/>
  <c r="N12" i="10"/>
  <c r="M12" i="10"/>
  <c r="U11" i="10"/>
  <c r="T11" i="10"/>
  <c r="O11" i="10"/>
  <c r="AE11" i="10" s="1"/>
  <c r="N11" i="10"/>
  <c r="Z11" i="10" s="1"/>
  <c r="M11" i="10"/>
  <c r="T10" i="10"/>
  <c r="N10" i="10"/>
  <c r="Z10" i="10" s="1"/>
  <c r="M10" i="10"/>
  <c r="AJ107" i="12" l="1"/>
  <c r="AP81" i="12"/>
  <c r="AP119" i="12"/>
  <c r="AT85" i="12"/>
  <c r="AT122" i="12"/>
  <c r="AP219" i="12"/>
  <c r="AG220" i="12"/>
  <c r="I14" i="12"/>
  <c r="F14" i="12" s="1"/>
  <c r="N256" i="12"/>
  <c r="N272" i="12"/>
  <c r="N265" i="12"/>
  <c r="BB267" i="12"/>
  <c r="BB269" i="12"/>
  <c r="BB271" i="12"/>
  <c r="AP281" i="12"/>
  <c r="AP456" i="12"/>
  <c r="AP262" i="12"/>
  <c r="BB264" i="12"/>
  <c r="BB268" i="12"/>
  <c r="I8" i="12"/>
  <c r="M8" i="12" s="1"/>
  <c r="F8" i="12" s="1"/>
  <c r="Z73" i="12"/>
  <c r="O199" i="12"/>
  <c r="BB199" i="12" s="1"/>
  <c r="O318" i="12"/>
  <c r="AP318" i="12" s="1"/>
  <c r="N320" i="12"/>
  <c r="I19" i="12"/>
  <c r="O63" i="12"/>
  <c r="N65" i="12"/>
  <c r="Z65" i="12" s="1"/>
  <c r="N67" i="12"/>
  <c r="Z67" i="12" s="1"/>
  <c r="AR138" i="12"/>
  <c r="O143" i="12"/>
  <c r="AP143" i="12" s="1"/>
  <c r="N59" i="12"/>
  <c r="Z59" i="12" s="1"/>
  <c r="AP142" i="12"/>
  <c r="O153" i="12"/>
  <c r="BB153" i="12" s="1"/>
  <c r="O155" i="12"/>
  <c r="BB155" i="12" s="1"/>
  <c r="P166" i="12"/>
  <c r="O197" i="12"/>
  <c r="AQ197" i="12" s="1"/>
  <c r="AP227" i="12"/>
  <c r="AP230" i="12"/>
  <c r="O427" i="12"/>
  <c r="BB265" i="12"/>
  <c r="AP475" i="12"/>
  <c r="O146" i="12"/>
  <c r="AR146" i="12" s="1"/>
  <c r="BB163" i="12"/>
  <c r="O195" i="12"/>
  <c r="BB195" i="12" s="1"/>
  <c r="N208" i="12"/>
  <c r="AT196" i="12"/>
  <c r="O231" i="12"/>
  <c r="BB231" i="12" s="1"/>
  <c r="O232" i="12"/>
  <c r="BB232" i="12" s="1"/>
  <c r="AQ279" i="12"/>
  <c r="AP311" i="12"/>
  <c r="O475" i="12"/>
  <c r="AQ475" i="12" s="1"/>
  <c r="O477" i="12"/>
  <c r="E87" i="13"/>
  <c r="F94" i="13" s="1"/>
  <c r="O56" i="12"/>
  <c r="AE56" i="12" s="1"/>
  <c r="AJ57" i="12"/>
  <c r="O61" i="12"/>
  <c r="AE61" i="12" s="1"/>
  <c r="AL114" i="12"/>
  <c r="AQ125" i="12"/>
  <c r="AR103" i="12"/>
  <c r="O173" i="12"/>
  <c r="BB173" i="12" s="1"/>
  <c r="O175" i="12"/>
  <c r="BB175" i="12" s="1"/>
  <c r="AT211" i="12"/>
  <c r="Q216" i="12"/>
  <c r="O196" i="12"/>
  <c r="BB196" i="12" s="1"/>
  <c r="AQ224" i="12"/>
  <c r="BB24" i="12"/>
  <c r="BB166" i="12"/>
  <c r="Z375" i="12"/>
  <c r="Z376" i="12"/>
  <c r="O50" i="12"/>
  <c r="AE50" i="12" s="1"/>
  <c r="O49" i="12"/>
  <c r="AH144" i="12"/>
  <c r="AH146" i="12"/>
  <c r="BB167" i="12"/>
  <c r="O171" i="12"/>
  <c r="AL179" i="12"/>
  <c r="BB168" i="12"/>
  <c r="P211" i="12"/>
  <c r="O193" i="12"/>
  <c r="BB193" i="12" s="1"/>
  <c r="AP221" i="12"/>
  <c r="O194" i="12"/>
  <c r="BB194" i="12" s="1"/>
  <c r="AP239" i="12"/>
  <c r="O237" i="12"/>
  <c r="AQ237" i="12" s="1"/>
  <c r="BB233" i="12"/>
  <c r="O258" i="12"/>
  <c r="AM258" i="12" s="1"/>
  <c r="N267" i="12"/>
  <c r="N268" i="12"/>
  <c r="N263" i="12"/>
  <c r="Q296" i="12"/>
  <c r="P305" i="12"/>
  <c r="BB143" i="12"/>
  <c r="AP235" i="12"/>
  <c r="O423" i="12"/>
  <c r="AQ423" i="12" s="1"/>
  <c r="N430" i="12"/>
  <c r="AP254" i="12"/>
  <c r="BB266" i="12"/>
  <c r="N269" i="12"/>
  <c r="AP269" i="12" s="1"/>
  <c r="AQ457" i="12"/>
  <c r="AP458" i="12"/>
  <c r="AM308" i="12"/>
  <c r="O331" i="12"/>
  <c r="AP331" i="12" s="1"/>
  <c r="BB312" i="12"/>
  <c r="O41" i="12"/>
  <c r="AJ58" i="12"/>
  <c r="O147" i="12"/>
  <c r="AM147" i="12" s="1"/>
  <c r="O177" i="12"/>
  <c r="BB177" i="12" s="1"/>
  <c r="Q218" i="12"/>
  <c r="O428" i="12"/>
  <c r="AM428" i="12" s="1"/>
  <c r="N429" i="12"/>
  <c r="AH429" i="12" s="1"/>
  <c r="AQ250" i="12"/>
  <c r="AP249" i="12"/>
  <c r="P262" i="12"/>
  <c r="AR262" i="12" s="1"/>
  <c r="BB296" i="12"/>
  <c r="BB305" i="12"/>
  <c r="BB59" i="12"/>
  <c r="BB216" i="12"/>
  <c r="BB309" i="12"/>
  <c r="Z29" i="12"/>
  <c r="AE59" i="12"/>
  <c r="AE53" i="12"/>
  <c r="AD46" i="12"/>
  <c r="AA41" i="12"/>
  <c r="N55" i="12"/>
  <c r="Z55" i="12" s="1"/>
  <c r="Z60" i="12"/>
  <c r="AH47" i="12"/>
  <c r="O28" i="12"/>
  <c r="AE32" i="12"/>
  <c r="AJ109" i="12"/>
  <c r="AJ110" i="12"/>
  <c r="AP96" i="12"/>
  <c r="AP133" i="12"/>
  <c r="AP154" i="12"/>
  <c r="O169" i="12"/>
  <c r="AR169" i="12" s="1"/>
  <c r="O174" i="12"/>
  <c r="AP174" i="12" s="1"/>
  <c r="AD170" i="12"/>
  <c r="AL167" i="12"/>
  <c r="AT178" i="12"/>
  <c r="P222" i="12"/>
  <c r="BB222" i="12" s="1"/>
  <c r="P212" i="12"/>
  <c r="AY212" i="12" s="1"/>
  <c r="AQ212" i="12"/>
  <c r="N264" i="12"/>
  <c r="AM264" i="12" s="1"/>
  <c r="N266" i="12"/>
  <c r="AM266" i="12" s="1"/>
  <c r="BB49" i="12"/>
  <c r="BB57" i="12"/>
  <c r="BB262" i="12"/>
  <c r="BB311" i="12"/>
  <c r="BB260" i="12"/>
  <c r="BB331" i="12"/>
  <c r="BB310" i="12"/>
  <c r="BB315" i="12"/>
  <c r="O29" i="12"/>
  <c r="AE29" i="12" s="1"/>
  <c r="O38" i="12"/>
  <c r="AE38" i="12" s="1"/>
  <c r="N58" i="12"/>
  <c r="AH58" i="12" s="1"/>
  <c r="AP84" i="12"/>
  <c r="AR148" i="12"/>
  <c r="O154" i="12"/>
  <c r="BB154" i="12" s="1"/>
  <c r="AR151" i="12"/>
  <c r="AM164" i="12"/>
  <c r="Q217" i="12"/>
  <c r="O238" i="12"/>
  <c r="N274" i="12"/>
  <c r="AP274" i="12" s="1"/>
  <c r="N273" i="12"/>
  <c r="AP273" i="12" s="1"/>
  <c r="N270" i="12"/>
  <c r="AQ270" i="12" s="1"/>
  <c r="N286" i="12"/>
  <c r="AG286" i="12" s="1"/>
  <c r="AM299" i="12"/>
  <c r="AQ472" i="12"/>
  <c r="O476" i="12"/>
  <c r="BB64" i="12"/>
  <c r="I18" i="12" s="1"/>
  <c r="BB299" i="12"/>
  <c r="I6" i="12" s="1"/>
  <c r="M6" i="12" s="1"/>
  <c r="F6" i="12" s="1"/>
  <c r="R292" i="12"/>
  <c r="AQ292" i="12"/>
  <c r="O48" i="12"/>
  <c r="O43" i="12"/>
  <c r="AF43" i="12" s="1"/>
  <c r="AF21" i="12" s="1"/>
  <c r="AJ37" i="12"/>
  <c r="Z32" i="12"/>
  <c r="AA62" i="12"/>
  <c r="N71" i="12"/>
  <c r="AH71" i="12" s="1"/>
  <c r="AH169" i="12"/>
  <c r="O176" i="12"/>
  <c r="BB176" i="12" s="1"/>
  <c r="P164" i="12"/>
  <c r="O184" i="12"/>
  <c r="AP184" i="12" s="1"/>
  <c r="O185" i="12"/>
  <c r="AP185" i="12" s="1"/>
  <c r="AL191" i="12"/>
  <c r="O192" i="12"/>
  <c r="BB192" i="12" s="1"/>
  <c r="AN210" i="12"/>
  <c r="O207" i="12"/>
  <c r="AM207" i="12" s="1"/>
  <c r="O236" i="12"/>
  <c r="P240" i="12"/>
  <c r="BB240" i="12" s="1"/>
  <c r="N271" i="12"/>
  <c r="AQ271" i="12" s="1"/>
  <c r="P275" i="12"/>
  <c r="AQ277" i="12"/>
  <c r="AM291" i="12"/>
  <c r="O313" i="12"/>
  <c r="AQ317" i="12"/>
  <c r="BB43" i="12"/>
  <c r="I5" i="12" s="1"/>
  <c r="BB275" i="12"/>
  <c r="BB263" i="12"/>
  <c r="BB164" i="12"/>
  <c r="BB270" i="12"/>
  <c r="BB319" i="12"/>
  <c r="BB170" i="12"/>
  <c r="BB114" i="12"/>
  <c r="AH158" i="12"/>
  <c r="AP120" i="12"/>
  <c r="AS81" i="12"/>
  <c r="AM448" i="12"/>
  <c r="AZ450" i="12"/>
  <c r="AP319" i="12"/>
  <c r="AU113" i="12"/>
  <c r="AU21" i="12" s="1"/>
  <c r="AT81" i="12"/>
  <c r="AP165" i="12"/>
  <c r="AQ171" i="12"/>
  <c r="BB158" i="12"/>
  <c r="AJ75" i="12"/>
  <c r="AQ87" i="12"/>
  <c r="AR102" i="12"/>
  <c r="AP153" i="12"/>
  <c r="AP152" i="12"/>
  <c r="AL187" i="12"/>
  <c r="AP403" i="12"/>
  <c r="AQ266" i="12"/>
  <c r="AP268" i="12"/>
  <c r="AJ352" i="12"/>
  <c r="AM119" i="12"/>
  <c r="AM132" i="12"/>
  <c r="AP179" i="12"/>
  <c r="AT404" i="12"/>
  <c r="AM227" i="12"/>
  <c r="AM230" i="12"/>
  <c r="AP266" i="12"/>
  <c r="AK347" i="12"/>
  <c r="AH351" i="12"/>
  <c r="AX116" i="12"/>
  <c r="AX21" i="12" s="1"/>
  <c r="AM83" i="12"/>
  <c r="AR98" i="12"/>
  <c r="AL380" i="12"/>
  <c r="AM178" i="12"/>
  <c r="AM219" i="12"/>
  <c r="AM208" i="12"/>
  <c r="AP228" i="12"/>
  <c r="AP229" i="12"/>
  <c r="AQ417" i="12"/>
  <c r="AQ418" i="12"/>
  <c r="AP447" i="12"/>
  <c r="AQ451" i="12"/>
  <c r="AN460" i="12"/>
  <c r="AQ311" i="12"/>
  <c r="AM469" i="12"/>
  <c r="BB235" i="12"/>
  <c r="BB208" i="12"/>
  <c r="BB113" i="12"/>
  <c r="AJ106" i="12"/>
  <c r="AH74" i="12"/>
  <c r="AM116" i="12"/>
  <c r="AL143" i="12"/>
  <c r="AL379" i="12"/>
  <c r="AM162" i="12"/>
  <c r="AL185" i="12"/>
  <c r="AM221" i="12"/>
  <c r="AP224" i="12"/>
  <c r="AP416" i="12"/>
  <c r="AM438" i="12"/>
  <c r="AM240" i="12"/>
  <c r="AM265" i="12"/>
  <c r="AP455" i="12"/>
  <c r="AM320" i="12"/>
  <c r="AQ473" i="12"/>
  <c r="BB132" i="12"/>
  <c r="BB116" i="12"/>
  <c r="BB227" i="12"/>
  <c r="BB230" i="12"/>
  <c r="AK346" i="12"/>
  <c r="AK21" i="12" s="1"/>
  <c r="AP117" i="12"/>
  <c r="AM129" i="12"/>
  <c r="AR97" i="12"/>
  <c r="AH103" i="12"/>
  <c r="AL378" i="12"/>
  <c r="AM193" i="12"/>
  <c r="AM209" i="12"/>
  <c r="AP389" i="12"/>
  <c r="AP363" i="12"/>
  <c r="AT416" i="12"/>
  <c r="AM434" i="12"/>
  <c r="AP430" i="12"/>
  <c r="AR438" i="12"/>
  <c r="AM253" i="12"/>
  <c r="AL445" i="12"/>
  <c r="BB191" i="12"/>
  <c r="BB209" i="12"/>
  <c r="BB228" i="12"/>
  <c r="BB119" i="12"/>
  <c r="AP286" i="12"/>
  <c r="AZ306" i="12"/>
  <c r="AH331" i="12"/>
  <c r="AN78" i="12"/>
  <c r="AP82" i="12"/>
  <c r="AP121" i="12"/>
  <c r="AQ89" i="12"/>
  <c r="AR160" i="12"/>
  <c r="AH161" i="12"/>
  <c r="AL174" i="12"/>
  <c r="AL166" i="12"/>
  <c r="AM184" i="12"/>
  <c r="AQ192" i="12"/>
  <c r="AM394" i="12"/>
  <c r="AP193" i="12"/>
  <c r="AM405" i="12"/>
  <c r="AH199" i="12"/>
  <c r="AM229" i="12"/>
  <c r="AM246" i="12"/>
  <c r="AZ266" i="12"/>
  <c r="AP261" i="12"/>
  <c r="AZ293" i="12"/>
  <c r="AR446" i="12"/>
  <c r="AL288" i="12"/>
  <c r="AP449" i="12"/>
  <c r="AQ286" i="12"/>
  <c r="AO460" i="12"/>
  <c r="AN306" i="12"/>
  <c r="AT310" i="12"/>
  <c r="AP329" i="12"/>
  <c r="AR319" i="12"/>
  <c r="AH107" i="12"/>
  <c r="AT84" i="12"/>
  <c r="AL142" i="12"/>
  <c r="AP166" i="12"/>
  <c r="AP223" i="12"/>
  <c r="AP199" i="12"/>
  <c r="AP246" i="12"/>
  <c r="AZ253" i="12"/>
  <c r="AR288" i="12"/>
  <c r="AP453" i="12"/>
  <c r="AP309" i="12"/>
  <c r="AP308" i="12"/>
  <c r="AM300" i="12"/>
  <c r="AM306" i="12"/>
  <c r="AH72" i="12"/>
  <c r="AM78" i="12"/>
  <c r="AJ354" i="12"/>
  <c r="AP116" i="12"/>
  <c r="AM120" i="12"/>
  <c r="BB98" i="12"/>
  <c r="AH147" i="12"/>
  <c r="AL165" i="12"/>
  <c r="AG203" i="12"/>
  <c r="AM198" i="12"/>
  <c r="AR199" i="12"/>
  <c r="AQ416" i="12"/>
  <c r="AM430" i="12"/>
  <c r="AZ246" i="12"/>
  <c r="AH446" i="12"/>
  <c r="AP287" i="12"/>
  <c r="AQ462" i="12"/>
  <c r="AM460" i="12"/>
  <c r="AR365" i="12"/>
  <c r="AR309" i="12"/>
  <c r="AR300" i="12"/>
  <c r="AP306" i="12"/>
  <c r="AQ305" i="12"/>
  <c r="AN321" i="12"/>
  <c r="AQ474" i="12"/>
  <c r="AH109" i="12"/>
  <c r="AH110" i="12"/>
  <c r="BB76" i="12"/>
  <c r="AD76" i="12"/>
  <c r="AQ127" i="12"/>
  <c r="BB75" i="12"/>
  <c r="BB103" i="12"/>
  <c r="AE26" i="12"/>
  <c r="AH355" i="12"/>
  <c r="N54" i="12"/>
  <c r="Z54" i="12" s="1"/>
  <c r="N53" i="12"/>
  <c r="Z53" i="12" s="1"/>
  <c r="O46" i="12"/>
  <c r="N36" i="12"/>
  <c r="AA36" i="12" s="1"/>
  <c r="O35" i="12"/>
  <c r="AE35" i="12" s="1"/>
  <c r="N66" i="12"/>
  <c r="Z66" i="12" s="1"/>
  <c r="N69" i="12"/>
  <c r="Z69" i="12" s="1"/>
  <c r="N70" i="12"/>
  <c r="AH70" i="12" s="1"/>
  <c r="BB73" i="12"/>
  <c r="BB74" i="12"/>
  <c r="AT118" i="12"/>
  <c r="AP118" i="12"/>
  <c r="AM118" i="12"/>
  <c r="AM121" i="12"/>
  <c r="AT86" i="12"/>
  <c r="AS86" i="12"/>
  <c r="AQ124" i="12"/>
  <c r="AP125" i="12"/>
  <c r="AP137" i="12"/>
  <c r="AR101" i="12"/>
  <c r="AH101" i="12"/>
  <c r="P160" i="12"/>
  <c r="BB160" i="12" s="1"/>
  <c r="AH160" i="12"/>
  <c r="AL156" i="12"/>
  <c r="O156" i="12"/>
  <c r="BB156" i="12" s="1"/>
  <c r="AM145" i="12"/>
  <c r="O145" i="12"/>
  <c r="AP145" i="12" s="1"/>
  <c r="AH172" i="12"/>
  <c r="O172" i="12"/>
  <c r="BB172" i="12" s="1"/>
  <c r="P165" i="12"/>
  <c r="AP234" i="12"/>
  <c r="O234" i="12"/>
  <c r="AP278" i="12"/>
  <c r="O278" i="12"/>
  <c r="AQ278" i="12" s="1"/>
  <c r="BB87" i="12"/>
  <c r="AP105" i="12"/>
  <c r="AL105" i="12"/>
  <c r="AQ220" i="12"/>
  <c r="P220" i="12"/>
  <c r="BB220" i="12" s="1"/>
  <c r="O60" i="12"/>
  <c r="AE60" i="12" s="1"/>
  <c r="O47" i="12"/>
  <c r="N33" i="12"/>
  <c r="Z33" i="12" s="1"/>
  <c r="N68" i="12"/>
  <c r="Z68" i="12" s="1"/>
  <c r="Z108" i="12"/>
  <c r="BB78" i="12"/>
  <c r="AM82" i="12"/>
  <c r="AM84" i="12"/>
  <c r="AQ90" i="12"/>
  <c r="AQ91" i="12"/>
  <c r="BB91" i="12"/>
  <c r="AP131" i="12"/>
  <c r="AM133" i="12"/>
  <c r="AM137" i="12"/>
  <c r="BB102" i="12"/>
  <c r="AR139" i="12"/>
  <c r="AH105" i="12"/>
  <c r="AH159" i="12"/>
  <c r="AR144" i="12"/>
  <c r="AO164" i="12"/>
  <c r="O178" i="12"/>
  <c r="AM215" i="12"/>
  <c r="Q215" i="12"/>
  <c r="AP196" i="12"/>
  <c r="P225" i="12"/>
  <c r="BB225" i="12" s="1"/>
  <c r="AP231" i="12"/>
  <c r="AQ231" i="12"/>
  <c r="AZ231" i="12"/>
  <c r="AM231" i="12"/>
  <c r="AP424" i="12"/>
  <c r="O424" i="12"/>
  <c r="AQ424" i="12" s="1"/>
  <c r="AP429" i="12"/>
  <c r="AP474" i="12"/>
  <c r="AM117" i="12"/>
  <c r="AT83" i="12"/>
  <c r="AP83" i="12"/>
  <c r="BB85" i="12"/>
  <c r="AP85" i="12"/>
  <c r="AM96" i="12"/>
  <c r="AP201" i="12"/>
  <c r="AR201" i="12"/>
  <c r="AP436" i="12"/>
  <c r="AM436" i="12"/>
  <c r="N39" i="12"/>
  <c r="Z39" i="12" s="1"/>
  <c r="AQ88" i="12"/>
  <c r="BB92" i="12"/>
  <c r="AO129" i="12"/>
  <c r="AN129" i="12"/>
  <c r="AT132" i="12"/>
  <c r="AP132" i="12"/>
  <c r="AH138" i="12"/>
  <c r="AL141" i="12"/>
  <c r="AH149" i="12"/>
  <c r="AR149" i="12"/>
  <c r="AP155" i="12"/>
  <c r="M152" i="12"/>
  <c r="AL181" i="12"/>
  <c r="P167" i="12"/>
  <c r="AP167" i="12" s="1"/>
  <c r="AM167" i="12"/>
  <c r="AM214" i="12"/>
  <c r="Q214" i="12"/>
  <c r="P210" i="12"/>
  <c r="AP210" i="12" s="1"/>
  <c r="AO406" i="12"/>
  <c r="AN406" i="12"/>
  <c r="AZ406" i="12"/>
  <c r="O466" i="12"/>
  <c r="AQ466" i="12" s="1"/>
  <c r="AP466" i="12"/>
  <c r="AQ401" i="12"/>
  <c r="AP401" i="12"/>
  <c r="P224" i="12"/>
  <c r="BB224" i="12" s="1"/>
  <c r="AO198" i="12"/>
  <c r="O198" i="12"/>
  <c r="AP301" i="12"/>
  <c r="AM81" i="12"/>
  <c r="AS116" i="12"/>
  <c r="AS122" i="12"/>
  <c r="AQ126" i="12"/>
  <c r="AR134" i="12"/>
  <c r="AR99" i="12"/>
  <c r="AL135" i="12"/>
  <c r="AR104" i="12"/>
  <c r="AW140" i="12"/>
  <c r="AW21" i="12" s="1"/>
  <c r="AL140" i="12"/>
  <c r="AH148" i="12"/>
  <c r="AM157" i="12"/>
  <c r="AP378" i="12"/>
  <c r="AP379" i="12"/>
  <c r="AP380" i="12"/>
  <c r="AP173" i="12"/>
  <c r="AM175" i="12"/>
  <c r="AN164" i="12"/>
  <c r="AR359" i="12"/>
  <c r="AP359" i="12"/>
  <c r="AM201" i="12"/>
  <c r="AP208" i="12"/>
  <c r="AM437" i="12"/>
  <c r="AP437" i="12"/>
  <c r="AP284" i="12"/>
  <c r="O284" i="12"/>
  <c r="AQ284" i="12" s="1"/>
  <c r="AO445" i="12"/>
  <c r="AZ445" i="12"/>
  <c r="AN445" i="12"/>
  <c r="P291" i="12"/>
  <c r="BB291" i="12" s="1"/>
  <c r="AP314" i="12"/>
  <c r="P314" i="12"/>
  <c r="BB314" i="12" s="1"/>
  <c r="Q317" i="12"/>
  <c r="AQ123" i="12"/>
  <c r="P162" i="12"/>
  <c r="BB162" i="12" s="1"/>
  <c r="AP163" i="12"/>
  <c r="AQ183" i="12"/>
  <c r="P219" i="12"/>
  <c r="BB219" i="12" s="1"/>
  <c r="AP399" i="12"/>
  <c r="AM399" i="12"/>
  <c r="P221" i="12"/>
  <c r="BB221" i="12" s="1"/>
  <c r="AM200" i="12"/>
  <c r="AM210" i="12"/>
  <c r="AH359" i="12"/>
  <c r="P223" i="12"/>
  <c r="BB223" i="12" s="1"/>
  <c r="AN389" i="12"/>
  <c r="AZ389" i="12"/>
  <c r="AM389" i="12"/>
  <c r="AP407" i="12"/>
  <c r="AP205" i="12"/>
  <c r="P226" i="12"/>
  <c r="BB226" i="12" s="1"/>
  <c r="O422" i="12"/>
  <c r="AQ422" i="12" s="1"/>
  <c r="AZ434" i="12"/>
  <c r="AN434" i="12"/>
  <c r="AP240" i="12"/>
  <c r="AH439" i="12"/>
  <c r="AR439" i="12"/>
  <c r="AP279" i="12"/>
  <c r="AN450" i="12"/>
  <c r="AP450" i="12"/>
  <c r="AM450" i="12"/>
  <c r="AQ464" i="12"/>
  <c r="AY294" i="12"/>
  <c r="AY21" i="12" s="1"/>
  <c r="AP469" i="12"/>
  <c r="AZ469" i="12"/>
  <c r="AQ469" i="12"/>
  <c r="AN469" i="12"/>
  <c r="Q239" i="12"/>
  <c r="BB239" i="12" s="1"/>
  <c r="AQ280" i="12"/>
  <c r="AM293" i="12"/>
  <c r="AP448" i="12"/>
  <c r="AP291" i="12"/>
  <c r="AQ452" i="12"/>
  <c r="AL323" i="12"/>
  <c r="AL363" i="12"/>
  <c r="O420" i="12"/>
  <c r="AQ246" i="12"/>
  <c r="AO253" i="12"/>
  <c r="R282" i="12"/>
  <c r="AN293" i="12"/>
  <c r="AQ465" i="12"/>
  <c r="AP459" i="12"/>
  <c r="O307" i="12"/>
  <c r="AH365" i="12"/>
  <c r="AP304" i="12"/>
  <c r="AQ310" i="12"/>
  <c r="AM321" i="12"/>
  <c r="AO321" i="12"/>
  <c r="AP472" i="12"/>
  <c r="AT453" i="10"/>
  <c r="AP236" i="10"/>
  <c r="AP518" i="10"/>
  <c r="AZ518" i="10"/>
  <c r="AP411" i="10"/>
  <c r="AM316" i="10"/>
  <c r="AM515" i="10"/>
  <c r="AP515" i="10"/>
  <c r="AP105" i="10"/>
  <c r="AM194" i="10"/>
  <c r="AP355" i="10"/>
  <c r="AP122" i="10"/>
  <c r="AT113" i="10"/>
  <c r="AT216" i="10"/>
  <c r="AR158" i="10"/>
  <c r="AJ67" i="10"/>
  <c r="AZ374" i="10"/>
  <c r="AL153" i="10"/>
  <c r="AL162" i="10"/>
  <c r="AP163" i="10"/>
  <c r="AW150" i="10"/>
  <c r="AM344" i="10"/>
  <c r="AM318" i="10"/>
  <c r="AP410" i="10"/>
  <c r="AP170" i="10"/>
  <c r="AQ194" i="10"/>
  <c r="AP248" i="10"/>
  <c r="AP354" i="10"/>
  <c r="AP524" i="10"/>
  <c r="AP487" i="10"/>
  <c r="AQ115" i="10"/>
  <c r="AQ116" i="10"/>
  <c r="AQ120" i="10"/>
  <c r="AQ222" i="10"/>
  <c r="AT420" i="10"/>
  <c r="AT350" i="10"/>
  <c r="AC24" i="10"/>
  <c r="AD186" i="10"/>
  <c r="AQ383" i="10"/>
  <c r="AH90" i="10"/>
  <c r="AL179" i="10"/>
  <c r="AX163" i="10"/>
  <c r="AZ273" i="10"/>
  <c r="AO333" i="10"/>
  <c r="AP483" i="10"/>
  <c r="AR513" i="10"/>
  <c r="AR314" i="10"/>
  <c r="AP283" i="10"/>
  <c r="AM412" i="10"/>
  <c r="AP104" i="10"/>
  <c r="AM106" i="10"/>
  <c r="AP107" i="10"/>
  <c r="AX170" i="10"/>
  <c r="AT194" i="10"/>
  <c r="AP348" i="10"/>
  <c r="AP417" i="10"/>
  <c r="AP489" i="10"/>
  <c r="AP289" i="10"/>
  <c r="AP255" i="10"/>
  <c r="AQ425" i="10"/>
  <c r="AT385" i="10"/>
  <c r="AD39" i="10"/>
  <c r="AH144" i="10"/>
  <c r="AR147" i="10"/>
  <c r="AJ29" i="10"/>
  <c r="AJ66" i="10"/>
  <c r="AJ90" i="10"/>
  <c r="AZ450" i="10"/>
  <c r="AN450" i="10"/>
  <c r="AQ454" i="10"/>
  <c r="AP454" i="10"/>
  <c r="AE16" i="10"/>
  <c r="AL505" i="10"/>
  <c r="AN505" i="10"/>
  <c r="AZ279" i="10"/>
  <c r="AN477" i="10"/>
  <c r="AL166" i="10"/>
  <c r="AP167" i="10"/>
  <c r="AM235" i="10"/>
  <c r="AM129" i="10"/>
  <c r="AM239" i="10"/>
  <c r="AZ402" i="10"/>
  <c r="AQ381" i="10"/>
  <c r="AP450" i="10"/>
  <c r="AM518" i="10"/>
  <c r="AP226" i="10"/>
  <c r="AP290" i="10"/>
  <c r="AQ290" i="10"/>
  <c r="AQ220" i="10"/>
  <c r="AG220" i="10"/>
  <c r="AO505" i="10"/>
  <c r="AO477" i="10"/>
  <c r="AP182" i="10"/>
  <c r="AP166" i="10"/>
  <c r="AO129" i="10"/>
  <c r="AO239" i="10"/>
  <c r="AZ333" i="10"/>
  <c r="AZ368" i="10"/>
  <c r="AO402" i="10"/>
  <c r="AN437" i="10"/>
  <c r="AZ437" i="10"/>
  <c r="AM471" i="10"/>
  <c r="AN471" i="10"/>
  <c r="AN286" i="10"/>
  <c r="AP346" i="10"/>
  <c r="AZ381" i="10"/>
  <c r="AX103" i="10"/>
  <c r="AT103" i="10"/>
  <c r="AS103" i="10"/>
  <c r="AT219" i="10"/>
  <c r="AM219" i="10"/>
  <c r="AC23" i="10"/>
  <c r="AP152" i="10"/>
  <c r="AR168" i="10"/>
  <c r="AH168" i="10"/>
  <c r="AQ450" i="10"/>
  <c r="AM379" i="10"/>
  <c r="AP379" i="10"/>
  <c r="AZ477" i="10"/>
  <c r="AZ307" i="10"/>
  <c r="AN236" i="10"/>
  <c r="AM236" i="10"/>
  <c r="AP484" i="10"/>
  <c r="AQ518" i="10"/>
  <c r="AM345" i="10"/>
  <c r="AP345" i="10"/>
  <c r="AG221" i="10"/>
  <c r="AQ221" i="10"/>
  <c r="AM283" i="10"/>
  <c r="AP103" i="10"/>
  <c r="AM223" i="10"/>
  <c r="AP180" i="10"/>
  <c r="AP342" i="10"/>
  <c r="AP282" i="10"/>
  <c r="AP389" i="10"/>
  <c r="AP292" i="10"/>
  <c r="AP112" i="10"/>
  <c r="AQ119" i="10"/>
  <c r="AQ124" i="10"/>
  <c r="AQ218" i="10"/>
  <c r="AD43" i="10"/>
  <c r="AJ62" i="10"/>
  <c r="AJ83" i="10"/>
  <c r="AT133" i="10"/>
  <c r="AT223" i="10"/>
  <c r="AQ256" i="10"/>
  <c r="AT289" i="10"/>
  <c r="AP233" i="10"/>
  <c r="AT112" i="10"/>
  <c r="AQ118" i="10"/>
  <c r="AQ123" i="10"/>
  <c r="AQ217" i="10"/>
  <c r="AQ390" i="10"/>
  <c r="AR136" i="10"/>
  <c r="AR146" i="10"/>
  <c r="AA59" i="10"/>
  <c r="AC22" i="10"/>
  <c r="AD42" i="10"/>
  <c r="AH152" i="10"/>
  <c r="AR160" i="10"/>
  <c r="AR176" i="10"/>
  <c r="AR154" i="10"/>
  <c r="AJ31" i="10"/>
  <c r="AJ82" i="10"/>
  <c r="AZ239" i="10"/>
  <c r="AM273" i="10"/>
  <c r="AM333" i="10"/>
  <c r="AO368" i="10"/>
  <c r="AM402" i="10"/>
  <c r="AO471" i="10"/>
  <c r="AN319" i="10"/>
  <c r="AN346" i="10"/>
  <c r="AM381" i="10"/>
  <c r="AN518" i="10"/>
  <c r="AP109" i="10"/>
  <c r="AP143" i="10"/>
  <c r="AP157" i="10"/>
  <c r="AP185" i="10"/>
  <c r="AM228" i="10"/>
  <c r="AP316" i="10"/>
  <c r="AT105" i="10"/>
  <c r="AT111" i="10"/>
  <c r="AP382" i="10"/>
  <c r="AP418" i="10"/>
  <c r="AT521" i="10"/>
  <c r="AR247" i="10"/>
  <c r="AP388" i="10"/>
  <c r="AQ117" i="10"/>
  <c r="AQ121" i="10"/>
  <c r="AQ356" i="10"/>
  <c r="AT419" i="10"/>
  <c r="AR139" i="10"/>
  <c r="AR169" i="10"/>
  <c r="AU98" i="10"/>
  <c r="AA9" i="10"/>
  <c r="AA73" i="10"/>
  <c r="AH54" i="10"/>
  <c r="AH79" i="10"/>
  <c r="AL152" i="10"/>
  <c r="AR144" i="10"/>
  <c r="AR155" i="10"/>
  <c r="AH91" i="10"/>
  <c r="AN189" i="10"/>
  <c r="AO189" i="10"/>
  <c r="AM189" i="10"/>
  <c r="AP252" i="10"/>
  <c r="AM252" i="10"/>
  <c r="AM315" i="10"/>
  <c r="O315" i="10"/>
  <c r="AP315" i="10" s="1"/>
  <c r="AM102" i="10"/>
  <c r="AQ292" i="10"/>
  <c r="AP322" i="10"/>
  <c r="P322" i="10"/>
  <c r="AT322" i="10" s="1"/>
  <c r="AR173" i="10"/>
  <c r="AH173" i="10"/>
  <c r="AN279" i="10"/>
  <c r="AP165" i="10"/>
  <c r="AL165" i="10"/>
  <c r="AL156" i="10"/>
  <c r="AP156" i="10"/>
  <c r="O198" i="10"/>
  <c r="AP198" i="10" s="1"/>
  <c r="AL198" i="10"/>
  <c r="AQ252" i="10"/>
  <c r="AP415" i="10"/>
  <c r="AM415" i="10"/>
  <c r="AM484" i="10"/>
  <c r="AM226" i="10"/>
  <c r="AM251" i="10"/>
  <c r="AM249" i="10"/>
  <c r="AP249" i="10"/>
  <c r="AR378" i="10"/>
  <c r="O378" i="10"/>
  <c r="AP378" i="10" s="1"/>
  <c r="AP102" i="10"/>
  <c r="AS102" i="10"/>
  <c r="AP456" i="10"/>
  <c r="AL440" i="10"/>
  <c r="Q440" i="10"/>
  <c r="AP440" i="10" s="1"/>
  <c r="O37" i="10"/>
  <c r="AE37" i="10" s="1"/>
  <c r="Z50" i="10"/>
  <c r="Q65" i="10"/>
  <c r="AK65" i="10" s="1"/>
  <c r="AL242" i="10"/>
  <c r="Q242" i="10"/>
  <c r="AP242" i="10" s="1"/>
  <c r="P192" i="10"/>
  <c r="AP192" i="10" s="1"/>
  <c r="O153" i="10"/>
  <c r="AP153" i="10" s="1"/>
  <c r="AL175" i="10"/>
  <c r="O175" i="10"/>
  <c r="AP175" i="10" s="1"/>
  <c r="P281" i="10"/>
  <c r="AR281" i="10" s="1"/>
  <c r="AN95" i="10"/>
  <c r="AO95" i="10"/>
  <c r="AM95" i="10"/>
  <c r="AM307" i="10"/>
  <c r="P286" i="10"/>
  <c r="AP286" i="10" s="1"/>
  <c r="AM286" i="10"/>
  <c r="AQ415" i="10"/>
  <c r="P410" i="10"/>
  <c r="AR410" i="10" s="1"/>
  <c r="AR481" i="10"/>
  <c r="O481" i="10"/>
  <c r="AP481" i="10" s="1"/>
  <c r="AR343" i="10"/>
  <c r="AM103" i="10"/>
  <c r="AQ351" i="10"/>
  <c r="O351" i="10"/>
  <c r="AT351" i="10" s="1"/>
  <c r="AG383" i="10"/>
  <c r="O383" i="10"/>
  <c r="AP383" i="10" s="1"/>
  <c r="O21" i="10"/>
  <c r="AE21" i="10" s="1"/>
  <c r="O10" i="10"/>
  <c r="AE10" i="10" s="1"/>
  <c r="Z15" i="10"/>
  <c r="AE35" i="10"/>
  <c r="AE58" i="10"/>
  <c r="N80" i="10"/>
  <c r="Z80" i="10" s="1"/>
  <c r="AZ310" i="10"/>
  <c r="Q310" i="10"/>
  <c r="AP310" i="10" s="1"/>
  <c r="AZ405" i="10"/>
  <c r="Q405" i="10"/>
  <c r="AP405" i="10" s="1"/>
  <c r="P99" i="10"/>
  <c r="AP99" i="10" s="1"/>
  <c r="AL225" i="10"/>
  <c r="N202" i="10"/>
  <c r="AL202" i="10" s="1"/>
  <c r="AP202" i="10"/>
  <c r="P376" i="10"/>
  <c r="AR376" i="10" s="1"/>
  <c r="AO307" i="10"/>
  <c r="AN252" i="10"/>
  <c r="AZ286" i="10"/>
  <c r="AZ415" i="10"/>
  <c r="AM450" i="10"/>
  <c r="AZ484" i="10"/>
  <c r="AM227" i="10"/>
  <c r="AP232" i="10"/>
  <c r="AM411" i="10"/>
  <c r="AM284" i="10"/>
  <c r="AM449" i="10"/>
  <c r="AM314" i="10"/>
  <c r="AP490" i="10"/>
  <c r="R140" i="10"/>
  <c r="AT140" i="10" s="1"/>
  <c r="AP184" i="10"/>
  <c r="AP281" i="10"/>
  <c r="AP376" i="10"/>
  <c r="AP479" i="10"/>
  <c r="N368" i="10"/>
  <c r="AM368" i="10" s="1"/>
  <c r="P319" i="10"/>
  <c r="AP319" i="10" s="1"/>
  <c r="AM109" i="10"/>
  <c r="AM210" i="10"/>
  <c r="AP231" i="10"/>
  <c r="AM513" i="10"/>
  <c r="AM481" i="10"/>
  <c r="AM378" i="10"/>
  <c r="AM110" i="10"/>
  <c r="AP108" i="10"/>
  <c r="AP133" i="10"/>
  <c r="AP349" i="10"/>
  <c r="AH87" i="10"/>
  <c r="O87" i="10"/>
  <c r="AJ87" i="10" s="1"/>
  <c r="AJ64" i="10"/>
  <c r="AJ84" i="10"/>
  <c r="AZ508" i="10"/>
  <c r="Q508" i="10"/>
  <c r="AP508" i="10" s="1"/>
  <c r="AL374" i="10"/>
  <c r="AL197" i="10"/>
  <c r="AL336" i="10"/>
  <c r="Q336" i="10"/>
  <c r="AP336" i="10" s="1"/>
  <c r="P374" i="10"/>
  <c r="AO374" i="10" s="1"/>
  <c r="AN374" i="10"/>
  <c r="AL279" i="10"/>
  <c r="AP183" i="10"/>
  <c r="N437" i="10"/>
  <c r="AM437" i="10" s="1"/>
  <c r="P381" i="10"/>
  <c r="AP381" i="10" s="1"/>
  <c r="AN484" i="10"/>
  <c r="O210" i="10"/>
  <c r="AP210" i="10" s="1"/>
  <c r="AM211" i="10"/>
  <c r="AP229" i="10"/>
  <c r="AM250" i="10"/>
  <c r="AP482" i="10"/>
  <c r="AM380" i="10"/>
  <c r="AM410" i="10"/>
  <c r="AM447" i="10"/>
  <c r="AM343" i="10"/>
  <c r="AP110" i="10"/>
  <c r="AM107" i="10"/>
  <c r="AM111" i="10"/>
  <c r="AP193" i="10"/>
  <c r="AP132" i="10"/>
  <c r="AP446" i="10"/>
  <c r="AP480" i="10"/>
  <c r="AP423" i="10"/>
  <c r="AP258" i="10"/>
  <c r="M256" i="10"/>
  <c r="M522" i="10"/>
  <c r="AP414" i="10"/>
  <c r="O291" i="10"/>
  <c r="AQ291" i="10" s="1"/>
  <c r="AT487" i="10"/>
  <c r="AS487" i="10"/>
  <c r="AQ487" i="10"/>
  <c r="AH409" i="10"/>
  <c r="O409" i="10"/>
  <c r="AP409" i="10" s="1"/>
  <c r="M488" i="10"/>
  <c r="AQ488" i="10"/>
  <c r="AQ257" i="10"/>
  <c r="AH340" i="10"/>
  <c r="O340" i="10"/>
  <c r="AP340" i="10" s="1"/>
  <c r="AM108" i="10"/>
  <c r="AP453" i="10"/>
  <c r="AP501" i="10"/>
  <c r="AP535" i="10"/>
  <c r="AP445" i="10"/>
  <c r="O445" i="10"/>
  <c r="AR445" i="10" s="1"/>
  <c r="AH280" i="10"/>
  <c r="O280" i="10"/>
  <c r="AP280" i="10" s="1"/>
  <c r="AH171" i="10"/>
  <c r="O171" i="10"/>
  <c r="AR171" i="10" s="1"/>
  <c r="O111" i="10"/>
  <c r="AP111" i="10" s="1"/>
  <c r="AT255" i="10"/>
  <c r="AP521" i="10"/>
  <c r="AP341" i="10"/>
  <c r="O341" i="10"/>
  <c r="AR341" i="10" s="1"/>
  <c r="AL160" i="10"/>
  <c r="P160" i="10"/>
  <c r="AP160" i="10" s="1"/>
  <c r="AH176" i="10"/>
  <c r="AM176" i="10"/>
  <c r="AH478" i="10"/>
  <c r="O478" i="10"/>
  <c r="AP478" i="10" s="1"/>
  <c r="AR138" i="10"/>
  <c r="AR149" i="10"/>
  <c r="AT114" i="10"/>
  <c r="AD41" i="10"/>
  <c r="AH246" i="10"/>
  <c r="O246" i="10"/>
  <c r="AP246" i="10" s="1"/>
  <c r="AH313" i="10"/>
  <c r="O313" i="10"/>
  <c r="AP313" i="10" s="1"/>
  <c r="AH375" i="10"/>
  <c r="O375" i="10"/>
  <c r="AP375" i="10" s="1"/>
  <c r="AH444" i="10"/>
  <c r="O444" i="10"/>
  <c r="AP444" i="10" s="1"/>
  <c r="AH512" i="10"/>
  <c r="O512" i="10"/>
  <c r="AP512" i="10" s="1"/>
  <c r="AH177" i="10"/>
  <c r="O177" i="10"/>
  <c r="AR177" i="10" s="1"/>
  <c r="AP500" i="10"/>
  <c r="AP533" i="10"/>
  <c r="AQ384" i="10"/>
  <c r="O384" i="10"/>
  <c r="AT384" i="10" s="1"/>
  <c r="AR137" i="10"/>
  <c r="Q152" i="10"/>
  <c r="AR152" i="10" s="1"/>
  <c r="AH159" i="10"/>
  <c r="O159" i="10"/>
  <c r="AR159" i="10" s="1"/>
  <c r="AH32" i="10"/>
  <c r="O32" i="10"/>
  <c r="AJ32" i="10" s="1"/>
  <c r="AH63" i="10"/>
  <c r="O63" i="10"/>
  <c r="AJ63" i="10" s="1"/>
  <c r="AJ86" i="10"/>
  <c r="AJ68" i="10"/>
  <c r="AJ88" i="10"/>
  <c r="AS114" i="10"/>
  <c r="AH155" i="10"/>
  <c r="AH172" i="10"/>
  <c r="AH178" i="10"/>
  <c r="I9" i="12" l="1"/>
  <c r="M9" i="12" s="1"/>
  <c r="F9" i="12" s="1"/>
  <c r="I13" i="12"/>
  <c r="AN231" i="12"/>
  <c r="BB207" i="12"/>
  <c r="AJ21" i="12"/>
  <c r="M5" i="12"/>
  <c r="F5" i="12" s="1"/>
  <c r="M13" i="12"/>
  <c r="F13" i="12" s="1"/>
  <c r="AP175" i="12"/>
  <c r="I15" i="12"/>
  <c r="M15" i="12" s="1"/>
  <c r="F15" i="12" s="1"/>
  <c r="I11" i="12"/>
  <c r="M11" i="12" s="1"/>
  <c r="F11" i="12" s="1"/>
  <c r="AD21" i="12"/>
  <c r="BB197" i="12"/>
  <c r="AQ196" i="12"/>
  <c r="AA21" i="12"/>
  <c r="BB174" i="12"/>
  <c r="I10" i="12" s="1"/>
  <c r="M10" i="12" s="1"/>
  <c r="F10" i="12" s="1"/>
  <c r="AS21" i="12"/>
  <c r="AL21" i="12"/>
  <c r="Z21" i="12"/>
  <c r="AH21" i="12"/>
  <c r="AM21" i="12"/>
  <c r="AT21" i="12"/>
  <c r="AG21" i="12"/>
  <c r="AN198" i="12"/>
  <c r="AN21" i="12" s="1"/>
  <c r="BB198" i="12"/>
  <c r="AQ178" i="12"/>
  <c r="BB178" i="12"/>
  <c r="AE21" i="12"/>
  <c r="AQ234" i="12"/>
  <c r="BB234" i="12"/>
  <c r="AR21" i="12"/>
  <c r="AO21" i="12"/>
  <c r="AZ21" i="12"/>
  <c r="AR172" i="12"/>
  <c r="AP156" i="12"/>
  <c r="AP160" i="12"/>
  <c r="F11" i="4"/>
  <c r="F17" i="5"/>
  <c r="I12" i="12" l="1"/>
  <c r="M12" i="12" s="1"/>
  <c r="F12" i="12" s="1"/>
  <c r="I16" i="12"/>
  <c r="M16" i="12" s="1"/>
  <c r="F16" i="12" s="1"/>
  <c r="AP21" i="12"/>
  <c r="AQ21" i="12"/>
  <c r="F15" i="5"/>
  <c r="F14" i="5"/>
  <c r="F13" i="5"/>
  <c r="F10" i="5"/>
  <c r="F9" i="5"/>
  <c r="F29" i="5"/>
  <c r="F28" i="5"/>
  <c r="F27" i="5"/>
  <c r="F5" i="5"/>
  <c r="F25" i="5"/>
  <c r="F22" i="5"/>
  <c r="F18" i="5"/>
  <c r="F16" i="5"/>
  <c r="F539" i="5"/>
  <c r="F12" i="5" s="1"/>
  <c r="F529" i="5"/>
  <c r="F11" i="5" s="1"/>
  <c r="F530" i="5"/>
  <c r="F566" i="5"/>
  <c r="F472" i="5"/>
  <c r="F471" i="5"/>
  <c r="F7" i="5" s="1"/>
  <c r="F540" i="5"/>
  <c r="F463" i="5"/>
  <c r="F464" i="5"/>
  <c r="F384" i="5"/>
  <c r="F383" i="5"/>
  <c r="F382" i="5"/>
  <c r="F381" i="5"/>
  <c r="F390" i="5"/>
  <c r="F389" i="5"/>
  <c r="F388" i="5"/>
  <c r="F387" i="5"/>
  <c r="F424" i="5"/>
  <c r="F378" i="5"/>
  <c r="F423" i="5"/>
  <c r="F422" i="5"/>
  <c r="F421" i="5"/>
  <c r="F26" i="5" s="1"/>
  <c r="F300" i="5"/>
  <c r="F21" i="5" s="1"/>
  <c r="F380" i="5"/>
  <c r="F386" i="5"/>
  <c r="F24" i="5" s="1"/>
  <c r="F379" i="5"/>
  <c r="F23" i="5" s="1"/>
  <c r="F385" i="5"/>
  <c r="F113" i="5"/>
  <c r="F114" i="5"/>
  <c r="F19" i="5" s="1"/>
  <c r="F115" i="5"/>
  <c r="F116" i="5"/>
  <c r="F117" i="5"/>
  <c r="F118" i="5"/>
  <c r="F119" i="5"/>
  <c r="F120" i="5"/>
  <c r="F121" i="5"/>
  <c r="F122" i="5"/>
  <c r="F123" i="5"/>
  <c r="F124" i="5"/>
  <c r="F125" i="5"/>
  <c r="F126" i="5"/>
  <c r="F127" i="5"/>
  <c r="F128" i="5"/>
  <c r="F129" i="5"/>
  <c r="F130" i="5"/>
  <c r="F131" i="5"/>
  <c r="F132" i="5"/>
  <c r="F133" i="5"/>
  <c r="F134" i="5"/>
  <c r="F135" i="5"/>
  <c r="F136" i="5"/>
  <c r="F137" i="5"/>
  <c r="F138" i="5"/>
  <c r="F139" i="5"/>
  <c r="F140" i="5"/>
  <c r="F141" i="5"/>
  <c r="F142" i="5"/>
  <c r="F143" i="5"/>
  <c r="F144" i="5"/>
  <c r="F145" i="5"/>
  <c r="F146" i="5"/>
  <c r="F147" i="5"/>
  <c r="F148" i="5"/>
  <c r="F149" i="5"/>
  <c r="F150" i="5"/>
  <c r="F151" i="5"/>
  <c r="F152" i="5"/>
  <c r="F153" i="5"/>
  <c r="F154" i="5"/>
  <c r="F155" i="5"/>
  <c r="F156" i="5"/>
  <c r="F157" i="5"/>
  <c r="F158" i="5"/>
  <c r="F159" i="5"/>
  <c r="F160" i="5"/>
  <c r="F161" i="5"/>
  <c r="F162" i="5"/>
  <c r="F163" i="5"/>
  <c r="F164" i="5"/>
  <c r="F165" i="5"/>
  <c r="F166" i="5"/>
  <c r="F167" i="5"/>
  <c r="F168" i="5"/>
  <c r="F169" i="5"/>
  <c r="F170" i="5"/>
  <c r="F171" i="5"/>
  <c r="F172" i="5"/>
  <c r="F173" i="5"/>
  <c r="F174" i="5"/>
  <c r="F175" i="5"/>
  <c r="F176" i="5"/>
  <c r="F177" i="5"/>
  <c r="F178" i="5"/>
  <c r="F179" i="5"/>
  <c r="F180" i="5"/>
  <c r="F112" i="5"/>
  <c r="F183" i="5"/>
  <c r="F184" i="5"/>
  <c r="F185" i="5"/>
  <c r="F186" i="5"/>
  <c r="F187" i="5"/>
  <c r="F188" i="5"/>
  <c r="F189" i="5"/>
  <c r="F190" i="5"/>
  <c r="F191" i="5"/>
  <c r="F192" i="5"/>
  <c r="F193" i="5"/>
  <c r="F194" i="5"/>
  <c r="F195" i="5"/>
  <c r="F196" i="5"/>
  <c r="F197" i="5"/>
  <c r="F198" i="5"/>
  <c r="F199" i="5"/>
  <c r="F200" i="5"/>
  <c r="F201" i="5"/>
  <c r="F202" i="5"/>
  <c r="F203" i="5"/>
  <c r="F204" i="5"/>
  <c r="F205" i="5"/>
  <c r="F206" i="5"/>
  <c r="F207" i="5"/>
  <c r="F208" i="5"/>
  <c r="F209" i="5"/>
  <c r="F210" i="5"/>
  <c r="F211" i="5"/>
  <c r="F212" i="5"/>
  <c r="F213" i="5"/>
  <c r="F214" i="5"/>
  <c r="F215" i="5"/>
  <c r="F216" i="5"/>
  <c r="F217" i="5"/>
  <c r="F218" i="5"/>
  <c r="F219" i="5"/>
  <c r="F220" i="5"/>
  <c r="F221" i="5"/>
  <c r="F222" i="5"/>
  <c r="F223" i="5"/>
  <c r="F224" i="5"/>
  <c r="F225" i="5"/>
  <c r="F226" i="5"/>
  <c r="F227" i="5"/>
  <c r="F228" i="5"/>
  <c r="F229" i="5"/>
  <c r="F230" i="5"/>
  <c r="F231" i="5"/>
  <c r="F232" i="5"/>
  <c r="F233" i="5"/>
  <c r="F234" i="5"/>
  <c r="F235" i="5"/>
  <c r="F236" i="5"/>
  <c r="F237" i="5"/>
  <c r="F238" i="5"/>
  <c r="F239" i="5"/>
  <c r="F240" i="5"/>
  <c r="F241" i="5"/>
  <c r="F242" i="5"/>
  <c r="F243" i="5"/>
  <c r="F244" i="5"/>
  <c r="F245" i="5"/>
  <c r="F246" i="5"/>
  <c r="F247" i="5"/>
  <c r="F248" i="5"/>
  <c r="F249" i="5"/>
  <c r="F250" i="5"/>
  <c r="F182" i="5"/>
  <c r="F20" i="5" s="1"/>
  <c r="N110" i="5"/>
  <c r="F6" i="5" l="1"/>
  <c r="F9" i="4"/>
  <c r="F8" i="4"/>
  <c r="F513" i="4"/>
  <c r="F512" i="4"/>
  <c r="F10" i="4" s="1"/>
  <c r="F326" i="4"/>
  <c r="F327" i="4"/>
  <c r="F328" i="4"/>
  <c r="F329" i="4"/>
  <c r="F330" i="4"/>
  <c r="F331" i="4"/>
  <c r="F332" i="4"/>
  <c r="F333" i="4"/>
  <c r="F334" i="4"/>
  <c r="F335" i="4"/>
  <c r="F336" i="4"/>
  <c r="F337" i="4"/>
  <c r="F338" i="4"/>
  <c r="F339" i="4"/>
  <c r="F340" i="4"/>
  <c r="F341" i="4"/>
  <c r="F342" i="4"/>
  <c r="F343" i="4"/>
  <c r="F344" i="4"/>
  <c r="F345" i="4"/>
  <c r="F346" i="4"/>
  <c r="F347" i="4"/>
  <c r="F348" i="4"/>
  <c r="F349" i="4"/>
  <c r="F350" i="4"/>
  <c r="F351" i="4"/>
  <c r="F352" i="4"/>
  <c r="F353" i="4"/>
  <c r="F354" i="4"/>
  <c r="F355" i="4"/>
  <c r="F356" i="4"/>
  <c r="F357" i="4"/>
  <c r="F358" i="4"/>
  <c r="F359" i="4"/>
  <c r="F360" i="4"/>
  <c r="F361" i="4"/>
  <c r="F362" i="4"/>
  <c r="F363" i="4"/>
  <c r="F364" i="4"/>
  <c r="F365" i="4"/>
  <c r="F366" i="4"/>
  <c r="F367" i="4"/>
  <c r="F368" i="4"/>
  <c r="F369" i="4"/>
  <c r="F370" i="4"/>
  <c r="F371" i="4"/>
  <c r="F372" i="4"/>
  <c r="F373" i="4"/>
  <c r="F374" i="4"/>
  <c r="F375" i="4"/>
  <c r="F376" i="4"/>
  <c r="F377" i="4"/>
  <c r="F378" i="4"/>
  <c r="F379" i="4"/>
  <c r="F380" i="4"/>
  <c r="F381" i="4"/>
  <c r="F308" i="4"/>
  <c r="F309" i="4"/>
  <c r="F310" i="4"/>
  <c r="F311" i="4"/>
  <c r="F312" i="4"/>
  <c r="F313" i="4"/>
  <c r="F314" i="4"/>
  <c r="F315" i="4"/>
  <c r="F316" i="4"/>
  <c r="F317" i="4"/>
  <c r="F318" i="4"/>
  <c r="F319" i="4"/>
  <c r="F320" i="4"/>
  <c r="F321" i="4"/>
  <c r="F322" i="4"/>
  <c r="F323" i="4"/>
  <c r="F324" i="4"/>
  <c r="F325" i="4"/>
  <c r="F307" i="4"/>
  <c r="F385" i="4"/>
  <c r="F386" i="4"/>
  <c r="F387" i="4"/>
  <c r="F388" i="4"/>
  <c r="F389" i="4"/>
  <c r="F390" i="4"/>
  <c r="F391" i="4"/>
  <c r="F392" i="4"/>
  <c r="F393" i="4"/>
  <c r="F394" i="4"/>
  <c r="F395" i="4"/>
  <c r="F396" i="4"/>
  <c r="F397" i="4"/>
  <c r="F398" i="4"/>
  <c r="F399" i="4"/>
  <c r="F400" i="4"/>
  <c r="F401" i="4"/>
  <c r="F402" i="4"/>
  <c r="F403" i="4"/>
  <c r="F404" i="4"/>
  <c r="F405" i="4"/>
  <c r="F406" i="4"/>
  <c r="F407" i="4"/>
  <c r="F408" i="4"/>
  <c r="F409" i="4"/>
  <c r="F410" i="4"/>
  <c r="F411" i="4"/>
  <c r="F412" i="4"/>
  <c r="F413" i="4"/>
  <c r="F414" i="4"/>
  <c r="F415" i="4"/>
  <c r="F416" i="4"/>
  <c r="F417" i="4"/>
  <c r="F418" i="4"/>
  <c r="F419" i="4"/>
  <c r="F420" i="4"/>
  <c r="F421" i="4"/>
  <c r="F422" i="4"/>
  <c r="F423" i="4"/>
  <c r="F424" i="4"/>
  <c r="F425" i="4"/>
  <c r="F426" i="4"/>
  <c r="F427" i="4"/>
  <c r="F428" i="4"/>
  <c r="F429" i="4"/>
  <c r="F430" i="4"/>
  <c r="F431" i="4"/>
  <c r="F432" i="4"/>
  <c r="F433" i="4"/>
  <c r="F434" i="4"/>
  <c r="F435" i="4"/>
  <c r="F436" i="4"/>
  <c r="F437" i="4"/>
  <c r="F438" i="4"/>
  <c r="F439" i="4"/>
  <c r="F440" i="4"/>
  <c r="F441" i="4"/>
  <c r="F442" i="4"/>
  <c r="F443" i="4"/>
  <c r="F444" i="4"/>
  <c r="F445" i="4"/>
  <c r="F446" i="4"/>
  <c r="F447" i="4"/>
  <c r="F448" i="4"/>
  <c r="F449" i="4"/>
  <c r="F450" i="4"/>
  <c r="F451" i="4"/>
  <c r="F452" i="4"/>
  <c r="F453" i="4"/>
  <c r="F454" i="4"/>
  <c r="F455" i="4"/>
  <c r="F456" i="4"/>
  <c r="F457" i="4"/>
  <c r="F458" i="4"/>
  <c r="F384" i="4"/>
  <c r="F101" i="4"/>
  <c r="F104" i="4"/>
  <c r="F5" i="4" s="1"/>
  <c r="F103" i="4"/>
  <c r="F39" i="4"/>
  <c r="F102" i="4"/>
  <c r="F38" i="4"/>
  <c r="F4" i="4" l="1"/>
  <c r="F7" i="4"/>
  <c r="F6" i="4"/>
</calcChain>
</file>

<file path=xl/sharedStrings.xml><?xml version="1.0" encoding="utf-8"?>
<sst xmlns="http://schemas.openxmlformats.org/spreadsheetml/2006/main" count="16315" uniqueCount="1474">
  <si>
    <t>POZNÁMKA</t>
  </si>
  <si>
    <t>Z2, Z5</t>
  </si>
  <si>
    <t>Z1, Z6</t>
  </si>
  <si>
    <t>Z1, Z6, Z7</t>
  </si>
  <si>
    <t>Z4</t>
  </si>
  <si>
    <t>Z4, Z10</t>
  </si>
  <si>
    <t>Z1, Z6, Z10</t>
  </si>
  <si>
    <t>Z1, Z2, Z6</t>
  </si>
  <si>
    <t>Z5</t>
  </si>
  <si>
    <t>-</t>
  </si>
  <si>
    <t>Z8b, Z9b</t>
  </si>
  <si>
    <t>Z1, Z8b, Z10</t>
  </si>
  <si>
    <t>Z9b</t>
  </si>
  <si>
    <t>2300, 2500</t>
  </si>
  <si>
    <t>2800, 2930</t>
  </si>
  <si>
    <t>Z1, Z7, Z12, Z13</t>
  </si>
  <si>
    <t>PRÁDELNA - ŠPINAVÁ CESTA</t>
  </si>
  <si>
    <t>Z8b</t>
  </si>
  <si>
    <t>T4</t>
  </si>
  <si>
    <t>PRÁDELNA - ČISTÁ CESTA</t>
  </si>
  <si>
    <t>T1</t>
  </si>
  <si>
    <t>Z1, Z6, Z8b, Z10</t>
  </si>
  <si>
    <t>2300, 2400</t>
  </si>
  <si>
    <t>Z1, Z6, Z9b, Z10</t>
  </si>
  <si>
    <t>2400, 2500</t>
  </si>
  <si>
    <t>Z1, Z6, Z7, Z12, Z13</t>
  </si>
  <si>
    <t>T3</t>
  </si>
  <si>
    <t>Z1, Z6, Z7, Z8b, Z9b</t>
  </si>
  <si>
    <t>Z12, Z13, Z14</t>
  </si>
  <si>
    <t>P7</t>
  </si>
  <si>
    <t>Z19</t>
  </si>
  <si>
    <t>Z11, Z12, Z15</t>
  </si>
  <si>
    <t>T6</t>
  </si>
  <si>
    <t>V NICE TRUHLÁŘSKÝ VÝROBEK - PODHLED</t>
  </si>
  <si>
    <t>Z15</t>
  </si>
  <si>
    <t>TRUHLÁŘSKÝ VÝROBEK - PODHLED</t>
  </si>
  <si>
    <t>Z12, Z15</t>
  </si>
  <si>
    <t>Z12, Z15, Z17, Z18, Z20</t>
  </si>
  <si>
    <t>Z12, Z15, Z17, Z18, Z22</t>
  </si>
  <si>
    <t>Z12, Z15, Z18, Z20</t>
  </si>
  <si>
    <t>Z12, Z15, Z18</t>
  </si>
  <si>
    <t>Z12, Z15, Z20</t>
  </si>
  <si>
    <t>Z15, Z18</t>
  </si>
  <si>
    <t>Z17, Z18</t>
  </si>
  <si>
    <t>T7</t>
  </si>
  <si>
    <t>Z16a</t>
  </si>
  <si>
    <t>Z15, Z16a</t>
  </si>
  <si>
    <t>Z11</t>
  </si>
  <si>
    <t>Z11, Z12, Z13, Z14</t>
  </si>
  <si>
    <t>P3, P7</t>
  </si>
  <si>
    <t>P8</t>
  </si>
  <si>
    <t>Z8b, Z16b</t>
  </si>
  <si>
    <t>Z16b</t>
  </si>
  <si>
    <t>WC ŹENY</t>
  </si>
  <si>
    <t>Z11, Z12, Z15, Z17, Z18</t>
  </si>
  <si>
    <t>T6, T7</t>
  </si>
  <si>
    <t>P6a</t>
  </si>
  <si>
    <t>P5b</t>
  </si>
  <si>
    <t>Z8b, Z12, Z15, Z16b</t>
  </si>
  <si>
    <t>Z11, Z21</t>
  </si>
  <si>
    <t>Z8b, Z15, Z16b</t>
  </si>
  <si>
    <t>keramický obklad=2610 mm</t>
  </si>
  <si>
    <t>P6b, P6d</t>
  </si>
  <si>
    <t>Z11, Z15</t>
  </si>
  <si>
    <t>P6d</t>
  </si>
  <si>
    <t>Z11, Z15, Z8b, Z16b</t>
  </si>
  <si>
    <t>Z11, Z15, Z22</t>
  </si>
  <si>
    <t>P6b</t>
  </si>
  <si>
    <t>Z12, Z15, Z22</t>
  </si>
  <si>
    <t>Z12, Z8b, Z16b</t>
  </si>
  <si>
    <t>Z15, Z16b</t>
  </si>
  <si>
    <t>Z12</t>
  </si>
  <si>
    <t>Z12, Z13</t>
  </si>
  <si>
    <t>Z12, Z13, Z15</t>
  </si>
  <si>
    <t>P8, P12</t>
  </si>
  <si>
    <t>F2</t>
  </si>
  <si>
    <t>F4</t>
  </si>
  <si>
    <t>P5a</t>
  </si>
  <si>
    <t>Z18</t>
  </si>
  <si>
    <t>Z8a, Z16a</t>
  </si>
  <si>
    <t>Z12, Z18</t>
  </si>
  <si>
    <t>Z11, Z12, Z13, Z15</t>
  </si>
  <si>
    <t>Z13, Z15, Z17</t>
  </si>
  <si>
    <t>Z12, F2</t>
  </si>
  <si>
    <t>Z12, F1, F2</t>
  </si>
  <si>
    <t>Z12, Z13, Z14, Z24</t>
  </si>
  <si>
    <t>Z11, Z12, Z13, Z15, Z24</t>
  </si>
  <si>
    <t>Z13, Z15, Z24</t>
  </si>
  <si>
    <t>Z12, Z13, Z15, Z24</t>
  </si>
  <si>
    <t>Z12, Z15, Z16b</t>
  </si>
  <si>
    <t>Z12, Z15, Z16a</t>
  </si>
  <si>
    <t>Z15, Z16a, Z18</t>
  </si>
  <si>
    <t>F1</t>
  </si>
  <si>
    <t>S10, železobeton, pororošt</t>
  </si>
  <si>
    <t>Z23, Z15, Z16a</t>
  </si>
  <si>
    <t>Z13, Z15</t>
  </si>
  <si>
    <t>Z11, Z13, Z14, Z24</t>
  </si>
  <si>
    <t>Z11, Z15, Z16b</t>
  </si>
  <si>
    <t>Z15, Z16a, Z17, Z18</t>
  </si>
  <si>
    <t>S10, žel.bet., kam. dlažba, pororošt</t>
  </si>
  <si>
    <t>podlaha=železobeton, kamenná dlažba</t>
  </si>
  <si>
    <t>Z16a, Z18</t>
  </si>
  <si>
    <t>F1, F2</t>
  </si>
  <si>
    <t>P15, P16a</t>
  </si>
  <si>
    <t>SAMOSTATNÁ ČISTICÍ MÍSTNOST</t>
  </si>
  <si>
    <t>podlaha = S10, železobeton, pórorošt</t>
  </si>
  <si>
    <t>Z8a, Z15, Z16a, Z18</t>
  </si>
  <si>
    <t>podlaha = S10, železobeton, pororošt</t>
  </si>
  <si>
    <t>Z15, Z23</t>
  </si>
  <si>
    <t>Z11, Z13, Z15, Z24</t>
  </si>
  <si>
    <t>S10, ŽB, pororošt</t>
  </si>
  <si>
    <t>1.pp</t>
  </si>
  <si>
    <t>A</t>
  </si>
  <si>
    <t>B</t>
  </si>
  <si>
    <t>C</t>
  </si>
  <si>
    <t>CHODBA</t>
  </si>
  <si>
    <t>1.np</t>
  </si>
  <si>
    <t>H</t>
  </si>
  <si>
    <t>2.np</t>
  </si>
  <si>
    <t>3.np</t>
  </si>
  <si>
    <t>4.np</t>
  </si>
  <si>
    <t>A.034b</t>
  </si>
  <si>
    <t>DIESEL VÝDECH-ANGL. DVOREK</t>
  </si>
  <si>
    <t>P22</t>
  </si>
  <si>
    <t>A.034c</t>
  </si>
  <si>
    <t>DIESEL SÁNÍ-ANGL. DVOREK</t>
  </si>
  <si>
    <t>ocelový pororošt</t>
  </si>
  <si>
    <t>T2</t>
  </si>
  <si>
    <t>A.231</t>
  </si>
  <si>
    <t>DVOULŮŽKOVÝ  POKOJ</t>
  </si>
  <si>
    <t>T3, T4</t>
  </si>
  <si>
    <t>A.232</t>
  </si>
  <si>
    <t>2400, 2670</t>
  </si>
  <si>
    <t>A.233</t>
  </si>
  <si>
    <t>A.234</t>
  </si>
  <si>
    <t>A.235</t>
  </si>
  <si>
    <t>A.236</t>
  </si>
  <si>
    <t>A.237</t>
  </si>
  <si>
    <t>A.238</t>
  </si>
  <si>
    <t>A.239</t>
  </si>
  <si>
    <t>B.231</t>
  </si>
  <si>
    <t>B.232</t>
  </si>
  <si>
    <t>B.233</t>
  </si>
  <si>
    <t>B.234</t>
  </si>
  <si>
    <t>B.235</t>
  </si>
  <si>
    <t>B.236</t>
  </si>
  <si>
    <t>B.237</t>
  </si>
  <si>
    <t>B.238</t>
  </si>
  <si>
    <t>B.239</t>
  </si>
  <si>
    <t>C.234</t>
  </si>
  <si>
    <t>P18, P19a</t>
  </si>
  <si>
    <t>C.235</t>
  </si>
  <si>
    <t>P15, P16a , P18</t>
  </si>
  <si>
    <t>C.236</t>
  </si>
  <si>
    <t>C.237</t>
  </si>
  <si>
    <t>C.238</t>
  </si>
  <si>
    <t>C.239</t>
  </si>
  <si>
    <t>P15, P16a, P18, P19a</t>
  </si>
  <si>
    <t>A.332</t>
  </si>
  <si>
    <t>A.333</t>
  </si>
  <si>
    <t>A.334</t>
  </si>
  <si>
    <t>A.335</t>
  </si>
  <si>
    <t>A.336</t>
  </si>
  <si>
    <t>A.337</t>
  </si>
  <si>
    <t>A.338</t>
  </si>
  <si>
    <t>A.339</t>
  </si>
  <si>
    <t>B.331</t>
  </si>
  <si>
    <t>B.332</t>
  </si>
  <si>
    <t>B.333</t>
  </si>
  <si>
    <t>B.334</t>
  </si>
  <si>
    <t>B.336</t>
  </si>
  <si>
    <t>B.337</t>
  </si>
  <si>
    <t>B.338</t>
  </si>
  <si>
    <t>B.339</t>
  </si>
  <si>
    <t>C.331</t>
  </si>
  <si>
    <t>C.332</t>
  </si>
  <si>
    <t>DVOULŮŽKOVÝ POKOJ</t>
  </si>
  <si>
    <t>C.333</t>
  </si>
  <si>
    <t>C.334</t>
  </si>
  <si>
    <t>C.335</t>
  </si>
  <si>
    <t>C.336</t>
  </si>
  <si>
    <t>C.338</t>
  </si>
  <si>
    <t>C.339</t>
  </si>
  <si>
    <t>A.431</t>
  </si>
  <si>
    <t>A.432</t>
  </si>
  <si>
    <t>A.433</t>
  </si>
  <si>
    <t>A.434</t>
  </si>
  <si>
    <t>A.435</t>
  </si>
  <si>
    <t>A.436</t>
  </si>
  <si>
    <t>A.437</t>
  </si>
  <si>
    <t>A.438</t>
  </si>
  <si>
    <t>A.439</t>
  </si>
  <si>
    <t>B.431</t>
  </si>
  <si>
    <t>B.432</t>
  </si>
  <si>
    <t>B.433</t>
  </si>
  <si>
    <t>B.434</t>
  </si>
  <si>
    <t>B.435</t>
  </si>
  <si>
    <t>B.436</t>
  </si>
  <si>
    <t>B.437</t>
  </si>
  <si>
    <t>B.438</t>
  </si>
  <si>
    <t>B.439</t>
  </si>
  <si>
    <t>C.431</t>
  </si>
  <si>
    <t>C.432</t>
  </si>
  <si>
    <t>C.433</t>
  </si>
  <si>
    <t>C.434</t>
  </si>
  <si>
    <t>C.435</t>
  </si>
  <si>
    <t>C.436</t>
  </si>
  <si>
    <t>C.437</t>
  </si>
  <si>
    <t>C.438</t>
  </si>
  <si>
    <t>C.439</t>
  </si>
  <si>
    <t>B.111</t>
  </si>
  <si>
    <t>JÍDELNA</t>
  </si>
  <si>
    <t>2800, 3000</t>
  </si>
  <si>
    <t>P4, P5a</t>
  </si>
  <si>
    <t>T3, T6, T7</t>
  </si>
  <si>
    <t>B.110</t>
  </si>
  <si>
    <t>KAVÁRNA/OBCHOD</t>
  </si>
  <si>
    <t>T5</t>
  </si>
  <si>
    <t>Ocelový pororošt</t>
  </si>
  <si>
    <t>m2</t>
  </si>
  <si>
    <t>Označení</t>
  </si>
  <si>
    <t>výměra</t>
  </si>
  <si>
    <t>MJ</t>
  </si>
  <si>
    <t>PŘÍLOHA P2 - PODHLEDY</t>
  </si>
  <si>
    <t>P16a</t>
  </si>
  <si>
    <t>P15</t>
  </si>
  <si>
    <t>P18</t>
  </si>
  <si>
    <t>P19a</t>
  </si>
  <si>
    <t>C.208c</t>
  </si>
  <si>
    <t>ODPADY A ŠPINAVÉ PRÁDLO</t>
  </si>
  <si>
    <t>P19b</t>
  </si>
  <si>
    <t>P16b</t>
  </si>
  <si>
    <t>C.205</t>
  </si>
  <si>
    <t>C.206</t>
  </si>
  <si>
    <t>C.209</t>
  </si>
  <si>
    <t>UZAVŘENÉ PRACOVIŠTĚ SESTER</t>
  </si>
  <si>
    <t>C.306</t>
  </si>
  <si>
    <t>P20</t>
  </si>
  <si>
    <t>P17</t>
  </si>
  <si>
    <t>H.130</t>
  </si>
  <si>
    <t>A.105</t>
  </si>
  <si>
    <t>ČEKÁRNA</t>
  </si>
  <si>
    <t>B.104</t>
  </si>
  <si>
    <t>P3</t>
  </si>
  <si>
    <t>P4</t>
  </si>
  <si>
    <t>B.122</t>
  </si>
  <si>
    <t>KUCHYŇ</t>
  </si>
  <si>
    <t>vzt strop-viz gastro/T3</t>
  </si>
  <si>
    <t>P9b</t>
  </si>
  <si>
    <t>B.123</t>
  </si>
  <si>
    <t>SKLAD KAVÁRNA</t>
  </si>
  <si>
    <t>B.131a</t>
  </si>
  <si>
    <t>SKLAD</t>
  </si>
  <si>
    <t>B.140</t>
  </si>
  <si>
    <t>MANIPULAČNÍ PROSTOR VOZÍKŮ</t>
  </si>
  <si>
    <t>B.151</t>
  </si>
  <si>
    <t>B.130a</t>
  </si>
  <si>
    <t>HRUBÁ ZELENINA PŘÍPRAVNA</t>
  </si>
  <si>
    <t>P10</t>
  </si>
  <si>
    <t>P13b</t>
  </si>
  <si>
    <t>P14</t>
  </si>
  <si>
    <t>PŘÍLOHA P1 - PODLAHY</t>
  </si>
  <si>
    <t>Obvod</t>
  </si>
  <si>
    <t>část 1</t>
  </si>
  <si>
    <t>část 2</t>
  </si>
  <si>
    <t>část 3</t>
  </si>
  <si>
    <t>část 4</t>
  </si>
  <si>
    <t>část 5</t>
  </si>
  <si>
    <t>otvory</t>
  </si>
  <si>
    <t>2500</t>
  </si>
  <si>
    <t>Z2</t>
  </si>
  <si>
    <t>2930</t>
  </si>
  <si>
    <t>2400</t>
  </si>
  <si>
    <t>Z1, Z6, Z8b, Z9b</t>
  </si>
  <si>
    <t>A.106</t>
  </si>
  <si>
    <t>A.107</t>
  </si>
  <si>
    <t>A.105+A.106+A.107</t>
  </si>
  <si>
    <t>Z12, Z15, Z17, Z18</t>
  </si>
  <si>
    <t>A.111+112</t>
  </si>
  <si>
    <t>A.112</t>
  </si>
  <si>
    <t>Z12, Z15, Z17</t>
  </si>
  <si>
    <t>B.110+111</t>
  </si>
  <si>
    <t>Z8b, Z11, Z15, Z16b</t>
  </si>
  <si>
    <t>B.126</t>
  </si>
  <si>
    <t>B.138</t>
  </si>
  <si>
    <t>B.122+124+126+138</t>
  </si>
  <si>
    <t>B.124</t>
  </si>
  <si>
    <t>B.130a,b,c</t>
  </si>
  <si>
    <t>B.130b</t>
  </si>
  <si>
    <t>B.130c</t>
  </si>
  <si>
    <t>B.131a,b,c</t>
  </si>
  <si>
    <t>B.131b</t>
  </si>
  <si>
    <t>B.131c</t>
  </si>
  <si>
    <t>B.132+133</t>
  </si>
  <si>
    <t>B.133</t>
  </si>
  <si>
    <t>B.137+139</t>
  </si>
  <si>
    <t>B.139</t>
  </si>
  <si>
    <t>Z8b, Z12, Z16b</t>
  </si>
  <si>
    <t>B.143+144</t>
  </si>
  <si>
    <t>B.144</t>
  </si>
  <si>
    <t>C.131+132+133</t>
  </si>
  <si>
    <t>C.132</t>
  </si>
  <si>
    <t>C.133</t>
  </si>
  <si>
    <t>Z12, Z16a, Z18</t>
  </si>
  <si>
    <t>C.136b</t>
  </si>
  <si>
    <t>C.136c</t>
  </si>
  <si>
    <t>C.136a,b,c</t>
  </si>
  <si>
    <t>H.106</t>
  </si>
  <si>
    <t>H.107</t>
  </si>
  <si>
    <t>H.108+106+107+118</t>
  </si>
  <si>
    <t>H.118</t>
  </si>
  <si>
    <t>H.110+111</t>
  </si>
  <si>
    <t>H.111</t>
  </si>
  <si>
    <t>H.115f,g</t>
  </si>
  <si>
    <t>H.115g</t>
  </si>
  <si>
    <t>Z15, Z17</t>
  </si>
  <si>
    <t>Z12, Z13, Z15, Z16a, Z24</t>
  </si>
  <si>
    <t>Z15, Z16a, Z23</t>
  </si>
  <si>
    <t>B.206</t>
  </si>
  <si>
    <t>B.306</t>
  </si>
  <si>
    <t>B.406</t>
  </si>
  <si>
    <t>B.205</t>
  </si>
  <si>
    <t>B.305</t>
  </si>
  <si>
    <t>B.405</t>
  </si>
  <si>
    <t>B.204</t>
  </si>
  <si>
    <t>B.304</t>
  </si>
  <si>
    <t>B.404</t>
  </si>
  <si>
    <t>B.407</t>
  </si>
  <si>
    <t>B.410a</t>
  </si>
  <si>
    <t>C.405</t>
  </si>
  <si>
    <t>A.205</t>
  </si>
  <si>
    <t>A.305</t>
  </si>
  <si>
    <t>A.405</t>
  </si>
  <si>
    <t>C.305</t>
  </si>
  <si>
    <t>A.207</t>
  </si>
  <si>
    <t>A.307</t>
  </si>
  <si>
    <t>A.407</t>
  </si>
  <si>
    <t>C.307</t>
  </si>
  <si>
    <t>C.407</t>
  </si>
  <si>
    <t>A.206</t>
  </si>
  <si>
    <t>C.406</t>
  </si>
  <si>
    <t>A.306</t>
  </si>
  <si>
    <t>A.406</t>
  </si>
  <si>
    <t>B.307</t>
  </si>
  <si>
    <t>B.207</t>
  </si>
  <si>
    <t>A.404</t>
  </si>
  <si>
    <t>A.204</t>
  </si>
  <si>
    <t>C.204</t>
  </si>
  <si>
    <t>A.304</t>
  </si>
  <si>
    <t>C.304</t>
  </si>
  <si>
    <t>C.404</t>
  </si>
  <si>
    <t>A.201</t>
  </si>
  <si>
    <t>B.201</t>
  </si>
  <si>
    <t>C.201</t>
  </si>
  <si>
    <t>A.301</t>
  </si>
  <si>
    <t>B.301</t>
  </si>
  <si>
    <t>C.301</t>
  </si>
  <si>
    <t>A.401</t>
  </si>
  <si>
    <t>B.401</t>
  </si>
  <si>
    <t>C.401</t>
  </si>
  <si>
    <t>A.212</t>
  </si>
  <si>
    <t>A.213</t>
  </si>
  <si>
    <t>B.212a</t>
  </si>
  <si>
    <t>B.212b</t>
  </si>
  <si>
    <t>C.212</t>
  </si>
  <si>
    <t>C.213</t>
  </si>
  <si>
    <t>A.312</t>
  </si>
  <si>
    <t>C.312</t>
  </si>
  <si>
    <t>A.412</t>
  </si>
  <si>
    <t>A.413</t>
  </si>
  <si>
    <t>B.412a</t>
  </si>
  <si>
    <t>B.412b</t>
  </si>
  <si>
    <t>C.412</t>
  </si>
  <si>
    <t>C.413</t>
  </si>
  <si>
    <t>A.208c</t>
  </si>
  <si>
    <t>B.208c</t>
  </si>
  <si>
    <t>A.308c</t>
  </si>
  <si>
    <t>B.308c</t>
  </si>
  <si>
    <t>C.308c</t>
  </si>
  <si>
    <t>A.408c</t>
  </si>
  <si>
    <t>B.408c</t>
  </si>
  <si>
    <t>C.408c</t>
  </si>
  <si>
    <t>A.203</t>
  </si>
  <si>
    <t>B.203</t>
  </si>
  <si>
    <t>C.203</t>
  </si>
  <si>
    <t>A.303</t>
  </si>
  <si>
    <t>B.303</t>
  </si>
  <si>
    <t>C.303</t>
  </si>
  <si>
    <t>A.403</t>
  </si>
  <si>
    <t>B.403</t>
  </si>
  <si>
    <t>C.403</t>
  </si>
  <si>
    <t>C.210a</t>
  </si>
  <si>
    <t>A.310a</t>
  </si>
  <si>
    <t>B.310a</t>
  </si>
  <si>
    <t>A.210a</t>
  </si>
  <si>
    <t>B.210a</t>
  </si>
  <si>
    <t>C.310a</t>
  </si>
  <si>
    <t>A.410a</t>
  </si>
  <si>
    <t>C.410a</t>
  </si>
  <si>
    <t>A.331b</t>
  </si>
  <si>
    <t>B.335b</t>
  </si>
  <si>
    <t>C.337b</t>
  </si>
  <si>
    <t>A.313</t>
  </si>
  <si>
    <t>B.312</t>
  </si>
  <si>
    <t>C.313</t>
  </si>
  <si>
    <t>A.215a</t>
  </si>
  <si>
    <t>B.214a</t>
  </si>
  <si>
    <t>A.415a</t>
  </si>
  <si>
    <t>B.414a</t>
  </si>
  <si>
    <t>C.415a</t>
  </si>
  <si>
    <t>A.210b</t>
  </si>
  <si>
    <t>B.210b</t>
  </si>
  <si>
    <t>C.210b</t>
  </si>
  <si>
    <t>A.310b</t>
  </si>
  <si>
    <t>B.310b</t>
  </si>
  <si>
    <t>C.310b</t>
  </si>
  <si>
    <t>A.410b</t>
  </si>
  <si>
    <t>A.308b</t>
  </si>
  <si>
    <t>C.308b</t>
  </si>
  <si>
    <t>C.408b</t>
  </si>
  <si>
    <t>A.208b</t>
  </si>
  <si>
    <t>B.208b</t>
  </si>
  <si>
    <t>C.208b</t>
  </si>
  <si>
    <t>B.308b</t>
  </si>
  <si>
    <t>A.408b</t>
  </si>
  <si>
    <t>B.408b</t>
  </si>
  <si>
    <t>A.331a</t>
  </si>
  <si>
    <t>B.335a</t>
  </si>
  <si>
    <t>C.337a</t>
  </si>
  <si>
    <t>A.331c</t>
  </si>
  <si>
    <t>B.335c</t>
  </si>
  <si>
    <t>C.337c</t>
  </si>
  <si>
    <t>A.217</t>
  </si>
  <si>
    <t>B.216</t>
  </si>
  <si>
    <t>C.217</t>
  </si>
  <si>
    <t>A.317</t>
  </si>
  <si>
    <t>B.316</t>
  </si>
  <si>
    <t>C.317</t>
  </si>
  <si>
    <t>A.417</t>
  </si>
  <si>
    <t>B.416</t>
  </si>
  <si>
    <t>C.417</t>
  </si>
  <si>
    <t>A.208a</t>
  </si>
  <si>
    <t>B.208a</t>
  </si>
  <si>
    <t>C.208a</t>
  </si>
  <si>
    <t>A.308a</t>
  </si>
  <si>
    <t>B.308a</t>
  </si>
  <si>
    <t>C.308a</t>
  </si>
  <si>
    <t>A.408a</t>
  </si>
  <si>
    <t>B.408a</t>
  </si>
  <si>
    <t>C.408a</t>
  </si>
  <si>
    <t>B.209</t>
  </si>
  <si>
    <t>A.409</t>
  </si>
  <si>
    <t>B.409</t>
  </si>
  <si>
    <t>A.209</t>
  </si>
  <si>
    <t>A.309</t>
  </si>
  <si>
    <t>B.309</t>
  </si>
  <si>
    <t>C.309</t>
  </si>
  <si>
    <t>C.409</t>
  </si>
  <si>
    <t>A.218</t>
  </si>
  <si>
    <t>B.217</t>
  </si>
  <si>
    <t>A.318</t>
  </si>
  <si>
    <t>B.317</t>
  </si>
  <si>
    <t>C.318</t>
  </si>
  <si>
    <t>A.418</t>
  </si>
  <si>
    <t>B.417</t>
  </si>
  <si>
    <t>C.418</t>
  </si>
  <si>
    <t>A.314</t>
  </si>
  <si>
    <t>B.313</t>
  </si>
  <si>
    <t>C.314</t>
  </si>
  <si>
    <t>A.215b</t>
  </si>
  <si>
    <t>B.214b</t>
  </si>
  <si>
    <t>A.315</t>
  </si>
  <si>
    <t>B.314</t>
  </si>
  <si>
    <t>A.415b</t>
  </si>
  <si>
    <t>B.414b</t>
  </si>
  <si>
    <t>C.415b</t>
  </si>
  <si>
    <t>C.315</t>
  </si>
  <si>
    <t>B.311+306+304+305+310ab</t>
  </si>
  <si>
    <t>B.211+206+204+205+210ab</t>
  </si>
  <si>
    <t>B.410b</t>
  </si>
  <si>
    <t>C.410b</t>
  </si>
  <si>
    <t>B.411+405+406+407+410ab</t>
  </si>
  <si>
    <t>A.211+205+206+207+210ab</t>
  </si>
  <si>
    <t>A.311+305+306+307+310ab</t>
  </si>
  <si>
    <t>A.411+405+406+407+410ab</t>
  </si>
  <si>
    <t>Z1</t>
  </si>
  <si>
    <t>Z3</t>
  </si>
  <si>
    <t>Z6</t>
  </si>
  <si>
    <t>Z7</t>
  </si>
  <si>
    <t>Z8a</t>
  </si>
  <si>
    <t>Z9a</t>
  </si>
  <si>
    <t>Z10</t>
  </si>
  <si>
    <t>Z13</t>
  </si>
  <si>
    <t>Z14</t>
  </si>
  <si>
    <t>Z17</t>
  </si>
  <si>
    <t>Z20</t>
  </si>
  <si>
    <t>Z21</t>
  </si>
  <si>
    <t>Z22</t>
  </si>
  <si>
    <t>Z23</t>
  </si>
  <si>
    <t>Z24</t>
  </si>
  <si>
    <t>P13</t>
  </si>
  <si>
    <t>k2</t>
  </si>
  <si>
    <t>t</t>
  </si>
  <si>
    <t>d</t>
  </si>
  <si>
    <t>k1</t>
  </si>
  <si>
    <t>pu 2</t>
  </si>
  <si>
    <t>e 1,5</t>
  </si>
  <si>
    <t>e 2</t>
  </si>
  <si>
    <t>lino</t>
  </si>
  <si>
    <t>pojízdnbá e 2</t>
  </si>
  <si>
    <t>žula</t>
  </si>
  <si>
    <t>tech e 2</t>
  </si>
  <si>
    <t>Epoxidová stěrka tl. 1-1,5 mm - v 50 mm</t>
  </si>
  <si>
    <t>Epoxidová stěrka tl. 2 mm - v 50 mm</t>
  </si>
  <si>
    <t>Epoxid. pojízdná stěrka - v 50 mm</t>
  </si>
  <si>
    <t>Epoxid. do tech.prostor - v 50 mm</t>
  </si>
  <si>
    <t>Polyuratanová stěrka - v 50 mm</t>
  </si>
  <si>
    <t>Keramický sokl - typ 1</t>
  </si>
  <si>
    <t>Keramický sokl - typ 2</t>
  </si>
  <si>
    <t>Sokl dřevěné podlahy</t>
  </si>
  <si>
    <t>Sokl terazza</t>
  </si>
  <si>
    <t>Sokl linolea</t>
  </si>
  <si>
    <t>bm</t>
  </si>
  <si>
    <t>Sokl</t>
  </si>
  <si>
    <t>Vytažení oleji vzdorného nátěru v 150 mm</t>
  </si>
  <si>
    <t>pozice</t>
  </si>
  <si>
    <t>ks</t>
  </si>
  <si>
    <t>rozměr</t>
  </si>
  <si>
    <t>m2/1 kus</t>
  </si>
  <si>
    <t>m2 celkem</t>
  </si>
  <si>
    <t>rám</t>
  </si>
  <si>
    <t>sklo</t>
  </si>
  <si>
    <t>PO</t>
  </si>
  <si>
    <t>3,42*2,765</t>
  </si>
  <si>
    <t>Al</t>
  </si>
  <si>
    <t>trosklo</t>
  </si>
  <si>
    <t>ne</t>
  </si>
  <si>
    <t>6,77*2,765</t>
  </si>
  <si>
    <t>EI30</t>
  </si>
  <si>
    <t>5,165*2,015</t>
  </si>
  <si>
    <t>ano</t>
  </si>
  <si>
    <t>3,32*2,015</t>
  </si>
  <si>
    <t>Ne</t>
  </si>
  <si>
    <t>6,77*2,015</t>
  </si>
  <si>
    <t>9,765*2,355+1,23*0,97</t>
  </si>
  <si>
    <t>3,32*2,415</t>
  </si>
  <si>
    <t>11+12</t>
  </si>
  <si>
    <t>6,77*2,415</t>
  </si>
  <si>
    <t>4,13*3,39</t>
  </si>
  <si>
    <t>4,735*3,4</t>
  </si>
  <si>
    <t>6,59*3,39</t>
  </si>
  <si>
    <t>5,23*3,385</t>
  </si>
  <si>
    <t>5,045*2,415</t>
  </si>
  <si>
    <t>6,78*2,47</t>
  </si>
  <si>
    <t>3,98*3,345</t>
  </si>
  <si>
    <t>1,565*3,38</t>
  </si>
  <si>
    <t>2,82*2,415</t>
  </si>
  <si>
    <t>5,07*2,415</t>
  </si>
  <si>
    <t>13,4175*2,415</t>
  </si>
  <si>
    <t>9,025*3,36</t>
  </si>
  <si>
    <t>3,425*3,36</t>
  </si>
  <si>
    <t>9,325*2,18</t>
  </si>
  <si>
    <t>3,47*3,36</t>
  </si>
  <si>
    <t>6,77*2,18</t>
  </si>
  <si>
    <t>3,015*3,64</t>
  </si>
  <si>
    <t>aut.dv.</t>
  </si>
  <si>
    <t>11,47*3,33</t>
  </si>
  <si>
    <t>10,835*3,34</t>
  </si>
  <si>
    <t>2,525*3,33</t>
  </si>
  <si>
    <t>3,705*3,33</t>
  </si>
  <si>
    <t>10,48*3,33</t>
  </si>
  <si>
    <t>11,66*2,835+3,45*3,6</t>
  </si>
  <si>
    <t>4,01*2,435</t>
  </si>
  <si>
    <t>11,75*3,42</t>
  </si>
  <si>
    <t>4,11*3,43</t>
  </si>
  <si>
    <t>1,96*1,96</t>
  </si>
  <si>
    <t>3,605*2,995</t>
  </si>
  <si>
    <t>3,35*2,96</t>
  </si>
  <si>
    <t>3,31*2,96</t>
  </si>
  <si>
    <t>2,535*2,96</t>
  </si>
  <si>
    <t>2,315*2,96</t>
  </si>
  <si>
    <t>2,51*2,995</t>
  </si>
  <si>
    <t>6,27*2,945</t>
  </si>
  <si>
    <t>6,84*2,945</t>
  </si>
  <si>
    <t>4,13*2,975</t>
  </si>
  <si>
    <t>4,73*2,92</t>
  </si>
  <si>
    <t>3,32*2,96</t>
  </si>
  <si>
    <t>2,62*2,995</t>
  </si>
  <si>
    <t>4,13*2,995</t>
  </si>
  <si>
    <t>4,73*2,995</t>
  </si>
  <si>
    <t>7,14*2,925</t>
  </si>
  <si>
    <t>3,79*2,96</t>
  </si>
  <si>
    <t>2,31*2,96</t>
  </si>
  <si>
    <t>3,26*2,96</t>
  </si>
  <si>
    <t>3,395*2,96</t>
  </si>
  <si>
    <t>3,56*2,995</t>
  </si>
  <si>
    <t>6,486*2,926</t>
  </si>
  <si>
    <t>6,84*2,926</t>
  </si>
  <si>
    <t>6,265*2,926</t>
  </si>
  <si>
    <t>2,31*2,935</t>
  </si>
  <si>
    <t>2,535*2,985</t>
  </si>
  <si>
    <t>EI</t>
  </si>
  <si>
    <t>Keramický sokl - tvarovka v 100 mm</t>
  </si>
  <si>
    <r>
      <rPr>
        <sz val="11"/>
        <color rgb="FF010101"/>
        <rFont val="Calibri"/>
        <family val="2"/>
        <charset val="238"/>
        <scheme val="minor"/>
      </rPr>
      <t>P1</t>
    </r>
  </si>
  <si>
    <r>
      <rPr>
        <sz val="11"/>
        <color rgb="FF010101"/>
        <rFont val="Calibri"/>
        <family val="2"/>
        <charset val="238"/>
        <scheme val="minor"/>
      </rPr>
      <t>P2</t>
    </r>
  </si>
  <si>
    <r>
      <rPr>
        <sz val="11"/>
        <color rgb="FF030303"/>
        <rFont val="Calibri"/>
        <family val="2"/>
        <charset val="238"/>
        <scheme val="minor"/>
      </rPr>
      <t>P3</t>
    </r>
  </si>
  <si>
    <r>
      <rPr>
        <sz val="11"/>
        <color rgb="FF030303"/>
        <rFont val="Calibri"/>
        <family val="2"/>
        <charset val="238"/>
        <scheme val="minor"/>
      </rPr>
      <t>P4</t>
    </r>
  </si>
  <si>
    <r>
      <rPr>
        <sz val="11"/>
        <color rgb="FF010101"/>
        <rFont val="Calibri"/>
        <family val="2"/>
        <charset val="238"/>
        <scheme val="minor"/>
      </rPr>
      <t>P21</t>
    </r>
  </si>
  <si>
    <r>
      <rPr>
        <sz val="11"/>
        <color rgb="FF010101"/>
        <rFont val="Calibri"/>
        <family val="2"/>
        <charset val="238"/>
        <scheme val="minor"/>
      </rPr>
      <t>P22</t>
    </r>
  </si>
  <si>
    <r>
      <rPr>
        <sz val="11"/>
        <color rgb="FF010101"/>
        <rFont val="Calibri"/>
        <family val="2"/>
        <charset val="238"/>
        <scheme val="minor"/>
      </rPr>
      <t>P23</t>
    </r>
  </si>
  <si>
    <r>
      <rPr>
        <b/>
        <sz val="11"/>
        <color rgb="FF010101"/>
        <rFont val="Calibri"/>
        <family val="2"/>
        <charset val="238"/>
        <scheme val="minor"/>
      </rPr>
      <t>Č</t>
    </r>
    <r>
      <rPr>
        <b/>
        <sz val="11"/>
        <color rgb="FF3F3F3F"/>
        <rFont val="Calibri"/>
        <family val="2"/>
        <charset val="238"/>
        <scheme val="minor"/>
      </rPr>
      <t xml:space="preserve">. </t>
    </r>
    <r>
      <rPr>
        <b/>
        <sz val="11"/>
        <color rgb="FF010101"/>
        <rFont val="Calibri"/>
        <family val="2"/>
        <charset val="238"/>
        <scheme val="minor"/>
      </rPr>
      <t>M.</t>
    </r>
  </si>
  <si>
    <r>
      <rPr>
        <b/>
        <sz val="11"/>
        <color rgb="FF010101"/>
        <rFont val="Calibri"/>
        <family val="2"/>
        <charset val="238"/>
        <scheme val="minor"/>
      </rPr>
      <t>NÁZEV MÍSTNOSTI</t>
    </r>
  </si>
  <si>
    <r>
      <rPr>
        <b/>
        <sz val="11"/>
        <color rgb="FF010101"/>
        <rFont val="Calibri"/>
        <family val="2"/>
        <charset val="238"/>
        <scheme val="minor"/>
      </rPr>
      <t xml:space="preserve">PLOCHA </t>
    </r>
    <r>
      <rPr>
        <sz val="11"/>
        <color rgb="FF111111"/>
        <rFont val="Calibri"/>
        <family val="2"/>
        <charset val="238"/>
        <scheme val="minor"/>
      </rPr>
      <t>[m</t>
    </r>
    <r>
      <rPr>
        <vertAlign val="superscript"/>
        <sz val="11"/>
        <color rgb="FF111111"/>
        <rFont val="Calibri"/>
        <family val="2"/>
        <charset val="238"/>
        <scheme val="minor"/>
      </rPr>
      <t>2</t>
    </r>
    <r>
      <rPr>
        <sz val="11"/>
        <color rgb="FF111111"/>
        <rFont val="Calibri"/>
        <family val="2"/>
        <charset val="238"/>
        <scheme val="minor"/>
      </rPr>
      <t>]</t>
    </r>
  </si>
  <si>
    <r>
      <rPr>
        <b/>
        <sz val="11"/>
        <color rgb="FF010101"/>
        <rFont val="Calibri"/>
        <family val="2"/>
        <charset val="238"/>
        <scheme val="minor"/>
      </rPr>
      <t xml:space="preserve">S.V.MÍST.
</t>
    </r>
    <r>
      <rPr>
        <sz val="11"/>
        <color rgb="FF111111"/>
        <rFont val="Calibri"/>
        <family val="2"/>
        <charset val="238"/>
        <scheme val="minor"/>
      </rPr>
      <t>[mm]</t>
    </r>
  </si>
  <si>
    <r>
      <rPr>
        <b/>
        <sz val="11"/>
        <color rgb="FF010101"/>
        <rFont val="Calibri"/>
        <family val="2"/>
        <charset val="238"/>
        <scheme val="minor"/>
      </rPr>
      <t>POVRCHY</t>
    </r>
  </si>
  <si>
    <r>
      <rPr>
        <b/>
        <sz val="11"/>
        <color rgb="FF010101"/>
        <rFont val="Calibri"/>
        <family val="2"/>
        <charset val="238"/>
        <scheme val="minor"/>
      </rPr>
      <t>PODLAHA</t>
    </r>
  </si>
  <si>
    <r>
      <rPr>
        <b/>
        <sz val="11"/>
        <color rgb="FF010101"/>
        <rFont val="Calibri"/>
        <family val="2"/>
        <charset val="238"/>
        <scheme val="minor"/>
      </rPr>
      <t>STĚNA</t>
    </r>
  </si>
  <si>
    <r>
      <rPr>
        <b/>
        <sz val="11"/>
        <color rgb="FF010101"/>
        <rFont val="Calibri"/>
        <family val="2"/>
        <charset val="238"/>
        <scheme val="minor"/>
      </rPr>
      <t>STROP</t>
    </r>
  </si>
  <si>
    <r>
      <rPr>
        <sz val="11"/>
        <color rgb="FF030303"/>
        <rFont val="Calibri"/>
        <family val="2"/>
        <charset val="238"/>
        <scheme val="minor"/>
      </rPr>
      <t>A.102</t>
    </r>
  </si>
  <si>
    <r>
      <rPr>
        <sz val="11"/>
        <color rgb="FF030303"/>
        <rFont val="Calibri"/>
        <family val="2"/>
        <charset val="238"/>
        <scheme val="minor"/>
      </rPr>
      <t>EVAKUAČNÍ VÝTAH</t>
    </r>
  </si>
  <si>
    <r>
      <rPr>
        <sz val="11"/>
        <color rgb="FF030303"/>
        <rFont val="Calibri"/>
        <family val="2"/>
        <charset val="238"/>
        <scheme val="minor"/>
      </rPr>
      <t>A.103</t>
    </r>
  </si>
  <si>
    <r>
      <rPr>
        <sz val="11"/>
        <color rgb="FF030303"/>
        <rFont val="Calibri"/>
        <family val="2"/>
        <charset val="238"/>
        <scheme val="minor"/>
      </rPr>
      <t>OSOBNÍ VÝTAH</t>
    </r>
  </si>
  <si>
    <r>
      <rPr>
        <sz val="11"/>
        <color rgb="FF030303"/>
        <rFont val="Calibri"/>
        <family val="2"/>
        <charset val="238"/>
        <scheme val="minor"/>
      </rPr>
      <t>A</t>
    </r>
    <r>
      <rPr>
        <sz val="11"/>
        <color rgb="FF262626"/>
        <rFont val="Calibri"/>
        <family val="2"/>
        <charset val="238"/>
        <scheme val="minor"/>
      </rPr>
      <t>.</t>
    </r>
    <r>
      <rPr>
        <sz val="11"/>
        <color rgb="FF030303"/>
        <rFont val="Calibri"/>
        <family val="2"/>
        <charset val="238"/>
        <scheme val="minor"/>
      </rPr>
      <t>131</t>
    </r>
  </si>
  <si>
    <r>
      <rPr>
        <sz val="11"/>
        <color rgb="FF030303"/>
        <rFont val="Calibri"/>
        <family val="2"/>
        <charset val="238"/>
        <scheme val="minor"/>
      </rPr>
      <t>TECHNICKÝ PROSTOR</t>
    </r>
  </si>
  <si>
    <r>
      <rPr>
        <sz val="11"/>
        <color rgb="FF1A1A1A"/>
        <rFont val="Calibri"/>
        <family val="2"/>
        <charset val="238"/>
        <scheme val="minor"/>
      </rPr>
      <t>B.102</t>
    </r>
  </si>
  <si>
    <r>
      <t>E</t>
    </r>
    <r>
      <rPr>
        <sz val="11"/>
        <color rgb="FF1A1A1A"/>
        <rFont val="Calibri"/>
        <family val="2"/>
        <charset val="238"/>
        <scheme val="minor"/>
      </rPr>
      <t>VAKUAČNÍ VÝTA</t>
    </r>
    <r>
      <rPr>
        <sz val="11"/>
        <rFont val="Calibri"/>
        <family val="2"/>
        <charset val="238"/>
        <scheme val="minor"/>
      </rPr>
      <t>H</t>
    </r>
  </si>
  <si>
    <r>
      <rPr>
        <sz val="11"/>
        <color rgb="FF1A1A1A"/>
        <rFont val="Calibri"/>
        <family val="2"/>
        <charset val="238"/>
        <scheme val="minor"/>
      </rPr>
      <t>B.103</t>
    </r>
  </si>
  <si>
    <r>
      <rPr>
        <sz val="11"/>
        <color rgb="FF1A1A1A"/>
        <rFont val="Calibri"/>
        <family val="2"/>
        <charset val="238"/>
        <scheme val="minor"/>
      </rPr>
      <t>OSOBNÍ VÝ</t>
    </r>
    <r>
      <rPr>
        <sz val="11"/>
        <rFont val="Calibri"/>
        <family val="2"/>
        <charset val="238"/>
        <scheme val="minor"/>
      </rPr>
      <t>T</t>
    </r>
    <r>
      <rPr>
        <sz val="11"/>
        <color rgb="FF1A1A1A"/>
        <rFont val="Calibri"/>
        <family val="2"/>
        <charset val="238"/>
        <scheme val="minor"/>
      </rPr>
      <t>A</t>
    </r>
    <r>
      <rPr>
        <sz val="11"/>
        <rFont val="Calibri"/>
        <family val="2"/>
        <charset val="238"/>
        <scheme val="minor"/>
      </rPr>
      <t>H</t>
    </r>
  </si>
  <si>
    <r>
      <rPr>
        <sz val="11"/>
        <color rgb="FF1A1A1A"/>
        <rFont val="Calibri"/>
        <family val="2"/>
        <charset val="238"/>
        <scheme val="minor"/>
      </rPr>
      <t>B</t>
    </r>
    <r>
      <rPr>
        <sz val="11"/>
        <color rgb="FF363636"/>
        <rFont val="Calibri"/>
        <family val="2"/>
        <charset val="238"/>
        <scheme val="minor"/>
      </rPr>
      <t>.</t>
    </r>
    <r>
      <rPr>
        <sz val="11"/>
        <rFont val="Calibri"/>
        <family val="2"/>
        <charset val="238"/>
        <scheme val="minor"/>
      </rPr>
      <t>1</t>
    </r>
    <r>
      <rPr>
        <sz val="11"/>
        <color rgb="FF1A1A1A"/>
        <rFont val="Calibri"/>
        <family val="2"/>
        <charset val="238"/>
        <scheme val="minor"/>
      </rPr>
      <t>12</t>
    </r>
  </si>
  <si>
    <r>
      <rPr>
        <sz val="11"/>
        <color rgb="FF1A1A1A"/>
        <rFont val="Calibri"/>
        <family val="2"/>
        <charset val="238"/>
        <scheme val="minor"/>
      </rPr>
      <t>GASTRO VÝTA</t>
    </r>
    <r>
      <rPr>
        <sz val="11"/>
        <rFont val="Calibri"/>
        <family val="2"/>
        <charset val="238"/>
        <scheme val="minor"/>
      </rPr>
      <t>H</t>
    </r>
  </si>
  <si>
    <r>
      <rPr>
        <sz val="11"/>
        <color rgb="FF1A1A1A"/>
        <rFont val="Calibri"/>
        <family val="2"/>
        <charset val="238"/>
        <scheme val="minor"/>
      </rPr>
      <t>T1</t>
    </r>
  </si>
  <si>
    <r>
      <rPr>
        <sz val="11"/>
        <color rgb="FF1A1A1A"/>
        <rFont val="Calibri"/>
        <family val="2"/>
        <charset val="238"/>
        <scheme val="minor"/>
      </rPr>
      <t>B</t>
    </r>
    <r>
      <rPr>
        <sz val="11"/>
        <color rgb="FF363636"/>
        <rFont val="Calibri"/>
        <family val="2"/>
        <charset val="238"/>
        <scheme val="minor"/>
      </rPr>
      <t>.</t>
    </r>
    <r>
      <rPr>
        <sz val="11"/>
        <rFont val="Calibri"/>
        <family val="2"/>
        <charset val="238"/>
        <scheme val="minor"/>
      </rPr>
      <t>1</t>
    </r>
    <r>
      <rPr>
        <sz val="11"/>
        <color rgb="FF1A1A1A"/>
        <rFont val="Calibri"/>
        <family val="2"/>
        <charset val="238"/>
        <scheme val="minor"/>
      </rPr>
      <t>20</t>
    </r>
  </si>
  <si>
    <r>
      <t>TE</t>
    </r>
    <r>
      <rPr>
        <sz val="11"/>
        <color rgb="FF1A1A1A"/>
        <rFont val="Calibri"/>
        <family val="2"/>
        <charset val="238"/>
        <scheme val="minor"/>
      </rPr>
      <t>C</t>
    </r>
    <r>
      <rPr>
        <sz val="11"/>
        <rFont val="Calibri"/>
        <family val="2"/>
        <charset val="238"/>
        <scheme val="minor"/>
      </rPr>
      <t>H</t>
    </r>
    <r>
      <rPr>
        <sz val="11"/>
        <color rgb="FF1A1A1A"/>
        <rFont val="Calibri"/>
        <family val="2"/>
        <charset val="238"/>
        <scheme val="minor"/>
      </rPr>
      <t>N</t>
    </r>
    <r>
      <rPr>
        <sz val="11"/>
        <rFont val="Calibri"/>
        <family val="2"/>
        <charset val="238"/>
        <scheme val="minor"/>
      </rPr>
      <t>I</t>
    </r>
    <r>
      <rPr>
        <sz val="11"/>
        <color rgb="FF1A1A1A"/>
        <rFont val="Calibri"/>
        <family val="2"/>
        <charset val="238"/>
        <scheme val="minor"/>
      </rPr>
      <t xml:space="preserve">CKÝ </t>
    </r>
    <r>
      <rPr>
        <sz val="11"/>
        <rFont val="Calibri"/>
        <family val="2"/>
        <charset val="238"/>
        <scheme val="minor"/>
      </rPr>
      <t>P</t>
    </r>
    <r>
      <rPr>
        <sz val="11"/>
        <color rgb="FF1A1A1A"/>
        <rFont val="Calibri"/>
        <family val="2"/>
        <charset val="238"/>
        <scheme val="minor"/>
      </rPr>
      <t>ROS</t>
    </r>
    <r>
      <rPr>
        <sz val="11"/>
        <rFont val="Calibri"/>
        <family val="2"/>
        <charset val="238"/>
        <scheme val="minor"/>
      </rPr>
      <t>T</t>
    </r>
    <r>
      <rPr>
        <sz val="11"/>
        <color rgb="FF1A1A1A"/>
        <rFont val="Calibri"/>
        <family val="2"/>
        <charset val="238"/>
        <scheme val="minor"/>
      </rPr>
      <t>OR</t>
    </r>
  </si>
  <si>
    <r>
      <rPr>
        <sz val="11"/>
        <color rgb="FF1A1A1A"/>
        <rFont val="Calibri"/>
        <family val="2"/>
        <charset val="238"/>
        <scheme val="minor"/>
      </rPr>
      <t>T1</t>
    </r>
    <r>
      <rPr>
        <sz val="11"/>
        <color rgb="FF4B4B4B"/>
        <rFont val="Calibri"/>
        <family val="2"/>
        <charset val="238"/>
        <scheme val="minor"/>
      </rPr>
      <t>, T2</t>
    </r>
  </si>
  <si>
    <r>
      <rPr>
        <sz val="11"/>
        <color rgb="FF1A1A1A"/>
        <rFont val="Calibri"/>
        <family val="2"/>
        <charset val="238"/>
        <scheme val="minor"/>
      </rPr>
      <t>B</t>
    </r>
    <r>
      <rPr>
        <sz val="11"/>
        <color rgb="FF363636"/>
        <rFont val="Calibri"/>
        <family val="2"/>
        <charset val="238"/>
        <scheme val="minor"/>
      </rPr>
      <t>.</t>
    </r>
    <r>
      <rPr>
        <sz val="11"/>
        <rFont val="Calibri"/>
        <family val="2"/>
        <charset val="238"/>
        <scheme val="minor"/>
      </rPr>
      <t>1</t>
    </r>
    <r>
      <rPr>
        <sz val="11"/>
        <color rgb="FF1A1A1A"/>
        <rFont val="Calibri"/>
        <family val="2"/>
        <charset val="238"/>
        <scheme val="minor"/>
      </rPr>
      <t>2</t>
    </r>
    <r>
      <rPr>
        <sz val="11"/>
        <rFont val="Calibri"/>
        <family val="2"/>
        <charset val="238"/>
        <scheme val="minor"/>
      </rPr>
      <t>1</t>
    </r>
  </si>
  <si>
    <r>
      <rPr>
        <sz val="11"/>
        <color rgb="FF1A1A1A"/>
        <rFont val="Calibri"/>
        <family val="2"/>
        <charset val="238"/>
        <scheme val="minor"/>
      </rPr>
      <t>T</t>
    </r>
    <r>
      <rPr>
        <sz val="11"/>
        <rFont val="Calibri"/>
        <family val="2"/>
        <charset val="238"/>
        <scheme val="minor"/>
      </rPr>
      <t>E</t>
    </r>
    <r>
      <rPr>
        <sz val="11"/>
        <color rgb="FF1A1A1A"/>
        <rFont val="Calibri"/>
        <family val="2"/>
        <charset val="238"/>
        <scheme val="minor"/>
      </rPr>
      <t>C</t>
    </r>
    <r>
      <rPr>
        <sz val="11"/>
        <rFont val="Calibri"/>
        <family val="2"/>
        <charset val="238"/>
        <scheme val="minor"/>
      </rPr>
      <t>H</t>
    </r>
    <r>
      <rPr>
        <sz val="11"/>
        <color rgb="FF1A1A1A"/>
        <rFont val="Calibri"/>
        <family val="2"/>
        <charset val="238"/>
        <scheme val="minor"/>
      </rPr>
      <t>N</t>
    </r>
    <r>
      <rPr>
        <sz val="11"/>
        <rFont val="Calibri"/>
        <family val="2"/>
        <charset val="238"/>
        <scheme val="minor"/>
      </rPr>
      <t>I</t>
    </r>
    <r>
      <rPr>
        <sz val="11"/>
        <color rgb="FF1A1A1A"/>
        <rFont val="Calibri"/>
        <family val="2"/>
        <charset val="238"/>
        <scheme val="minor"/>
      </rPr>
      <t xml:space="preserve">CKÝ </t>
    </r>
    <r>
      <rPr>
        <sz val="11"/>
        <rFont val="Calibri"/>
        <family val="2"/>
        <charset val="238"/>
        <scheme val="minor"/>
      </rPr>
      <t>P</t>
    </r>
    <r>
      <rPr>
        <sz val="11"/>
        <color rgb="FF1A1A1A"/>
        <rFont val="Calibri"/>
        <family val="2"/>
        <charset val="238"/>
        <scheme val="minor"/>
      </rPr>
      <t>ROS</t>
    </r>
    <r>
      <rPr>
        <sz val="11"/>
        <rFont val="Calibri"/>
        <family val="2"/>
        <charset val="238"/>
        <scheme val="minor"/>
      </rPr>
      <t>T</t>
    </r>
    <r>
      <rPr>
        <sz val="11"/>
        <color rgb="FF1A1A1A"/>
        <rFont val="Calibri"/>
        <family val="2"/>
        <charset val="238"/>
        <scheme val="minor"/>
      </rPr>
      <t>O</t>
    </r>
    <r>
      <rPr>
        <sz val="11"/>
        <rFont val="Calibri"/>
        <family val="2"/>
        <charset val="238"/>
        <scheme val="minor"/>
      </rPr>
      <t>R</t>
    </r>
  </si>
  <si>
    <r>
      <rPr>
        <sz val="11"/>
        <color rgb="FF030303"/>
        <rFont val="Calibri"/>
        <family val="2"/>
        <charset val="238"/>
        <scheme val="minor"/>
      </rPr>
      <t>C.102</t>
    </r>
  </si>
  <si>
    <r>
      <rPr>
        <sz val="11"/>
        <color rgb="FF030303"/>
        <rFont val="Calibri"/>
        <family val="2"/>
        <charset val="238"/>
        <scheme val="minor"/>
      </rPr>
      <t>C</t>
    </r>
    <r>
      <rPr>
        <sz val="11"/>
        <color rgb="FF383838"/>
        <rFont val="Calibri"/>
        <family val="2"/>
        <charset val="238"/>
        <scheme val="minor"/>
      </rPr>
      <t>.</t>
    </r>
    <r>
      <rPr>
        <sz val="11"/>
        <color rgb="FF030303"/>
        <rFont val="Calibri"/>
        <family val="2"/>
        <charset val="238"/>
        <scheme val="minor"/>
      </rPr>
      <t>103</t>
    </r>
  </si>
  <si>
    <r>
      <rPr>
        <sz val="11"/>
        <color rgb="FF030303"/>
        <rFont val="Calibri"/>
        <family val="2"/>
        <charset val="238"/>
        <scheme val="minor"/>
      </rPr>
      <t>C</t>
    </r>
    <r>
      <rPr>
        <sz val="11"/>
        <color rgb="FF494949"/>
        <rFont val="Calibri"/>
        <family val="2"/>
        <charset val="238"/>
        <scheme val="minor"/>
      </rPr>
      <t>.</t>
    </r>
    <r>
      <rPr>
        <sz val="11"/>
        <color rgb="FF030303"/>
        <rFont val="Calibri"/>
        <family val="2"/>
        <charset val="238"/>
        <scheme val="minor"/>
      </rPr>
      <t>137</t>
    </r>
  </si>
  <si>
    <r>
      <rPr>
        <sz val="11"/>
        <color rgb="FF030303"/>
        <rFont val="Calibri"/>
        <family val="2"/>
        <charset val="238"/>
        <scheme val="minor"/>
      </rPr>
      <t>P8</t>
    </r>
  </si>
  <si>
    <r>
      <rPr>
        <sz val="11"/>
        <color rgb="FF010101"/>
        <rFont val="Calibri"/>
        <family val="2"/>
        <charset val="238"/>
        <scheme val="minor"/>
      </rPr>
      <t>A.202</t>
    </r>
  </si>
  <si>
    <r>
      <rPr>
        <sz val="11"/>
        <color rgb="FF010101"/>
        <rFont val="Calibri"/>
        <family val="2"/>
        <charset val="238"/>
        <scheme val="minor"/>
      </rPr>
      <t>EVAKUAČNÍ  VÝTAH</t>
    </r>
  </si>
  <si>
    <r>
      <rPr>
        <sz val="11"/>
        <color rgb="FF363636"/>
        <rFont val="Calibri"/>
        <family val="2"/>
        <charset val="238"/>
        <scheme val="minor"/>
      </rPr>
      <t>P9</t>
    </r>
    <r>
      <rPr>
        <sz val="11"/>
        <rFont val="Calibri"/>
        <family val="2"/>
        <charset val="238"/>
        <scheme val="minor"/>
      </rPr>
      <t>b</t>
    </r>
  </si>
  <si>
    <r>
      <rPr>
        <sz val="11"/>
        <color rgb="FF010101"/>
        <rFont val="Calibri"/>
        <family val="2"/>
        <charset val="238"/>
        <scheme val="minor"/>
      </rPr>
      <t>A.203</t>
    </r>
  </si>
  <si>
    <r>
      <rPr>
        <sz val="11"/>
        <color rgb="FF010101"/>
        <rFont val="Calibri"/>
        <family val="2"/>
        <charset val="238"/>
        <scheme val="minor"/>
      </rPr>
      <t>OSOBNÍ VÝTAH</t>
    </r>
  </si>
  <si>
    <r>
      <rPr>
        <sz val="11"/>
        <color rgb="FF030303"/>
        <rFont val="Calibri"/>
        <family val="2"/>
        <charset val="238"/>
        <scheme val="minor"/>
      </rPr>
      <t>P10</t>
    </r>
  </si>
  <si>
    <r>
      <rPr>
        <sz val="11"/>
        <color rgb="FF010101"/>
        <rFont val="Calibri"/>
        <family val="2"/>
        <charset val="238"/>
        <scheme val="minor"/>
      </rPr>
      <t>B</t>
    </r>
    <r>
      <rPr>
        <sz val="11"/>
        <color rgb="FF2A2A2A"/>
        <rFont val="Calibri"/>
        <family val="2"/>
        <charset val="238"/>
        <scheme val="minor"/>
      </rPr>
      <t>.</t>
    </r>
    <r>
      <rPr>
        <sz val="11"/>
        <color rgb="FF010101"/>
        <rFont val="Calibri"/>
        <family val="2"/>
        <charset val="238"/>
        <scheme val="minor"/>
      </rPr>
      <t>202</t>
    </r>
  </si>
  <si>
    <r>
      <rPr>
        <sz val="11"/>
        <color rgb="FF030303"/>
        <rFont val="Calibri"/>
        <family val="2"/>
        <charset val="238"/>
        <scheme val="minor"/>
      </rPr>
      <t>P13</t>
    </r>
    <r>
      <rPr>
        <sz val="11"/>
        <color rgb="FF444444"/>
        <rFont val="Calibri"/>
        <family val="2"/>
        <charset val="238"/>
        <scheme val="minor"/>
      </rPr>
      <t>b</t>
    </r>
  </si>
  <si>
    <r>
      <rPr>
        <sz val="11"/>
        <color rgb="FF010101"/>
        <rFont val="Calibri"/>
        <family val="2"/>
        <charset val="238"/>
        <scheme val="minor"/>
      </rPr>
      <t>B</t>
    </r>
    <r>
      <rPr>
        <sz val="11"/>
        <color rgb="FF525252"/>
        <rFont val="Calibri"/>
        <family val="2"/>
        <charset val="238"/>
        <scheme val="minor"/>
      </rPr>
      <t>.</t>
    </r>
    <r>
      <rPr>
        <sz val="11"/>
        <color rgb="FF010101"/>
        <rFont val="Calibri"/>
        <family val="2"/>
        <charset val="238"/>
        <scheme val="minor"/>
      </rPr>
      <t>203</t>
    </r>
  </si>
  <si>
    <r>
      <rPr>
        <sz val="11"/>
        <color rgb="FF030303"/>
        <rFont val="Calibri"/>
        <family val="2"/>
        <charset val="238"/>
        <scheme val="minor"/>
      </rPr>
      <t>P14</t>
    </r>
  </si>
  <si>
    <r>
      <rPr>
        <sz val="11"/>
        <color rgb="FF030303"/>
        <rFont val="Calibri"/>
        <family val="2"/>
        <charset val="238"/>
        <scheme val="minor"/>
      </rPr>
      <t>C.202</t>
    </r>
  </si>
  <si>
    <r>
      <rPr>
        <sz val="11"/>
        <color rgb="FF030303"/>
        <rFont val="Calibri"/>
        <family val="2"/>
        <charset val="238"/>
        <scheme val="minor"/>
      </rPr>
      <t>P15</t>
    </r>
  </si>
  <si>
    <r>
      <rPr>
        <sz val="11"/>
        <color rgb="FF030303"/>
        <rFont val="Calibri"/>
        <family val="2"/>
        <charset val="238"/>
        <scheme val="minor"/>
      </rPr>
      <t>C</t>
    </r>
    <r>
      <rPr>
        <sz val="11"/>
        <color rgb="FF2A2A2A"/>
        <rFont val="Calibri"/>
        <family val="2"/>
        <charset val="238"/>
        <scheme val="minor"/>
      </rPr>
      <t>.</t>
    </r>
    <r>
      <rPr>
        <sz val="11"/>
        <color rgb="FF030303"/>
        <rFont val="Calibri"/>
        <family val="2"/>
        <charset val="238"/>
        <scheme val="minor"/>
      </rPr>
      <t>203</t>
    </r>
  </si>
  <si>
    <r>
      <rPr>
        <sz val="11"/>
        <color rgb="FF030303"/>
        <rFont val="Calibri"/>
        <family val="2"/>
        <charset val="238"/>
        <scheme val="minor"/>
      </rPr>
      <t>A.302</t>
    </r>
  </si>
  <si>
    <r>
      <rPr>
        <sz val="11"/>
        <color rgb="FF010101"/>
        <rFont val="Calibri"/>
        <family val="2"/>
        <charset val="238"/>
        <scheme val="minor"/>
      </rPr>
      <t>P16</t>
    </r>
    <r>
      <rPr>
        <sz val="11"/>
        <rFont val="Calibri"/>
        <family val="2"/>
        <charset val="238"/>
        <scheme val="minor"/>
      </rPr>
      <t>b</t>
    </r>
  </si>
  <si>
    <r>
      <rPr>
        <sz val="11"/>
        <color rgb="FF030303"/>
        <rFont val="Calibri"/>
        <family val="2"/>
        <charset val="238"/>
        <scheme val="minor"/>
      </rPr>
      <t>A.303</t>
    </r>
  </si>
  <si>
    <r>
      <rPr>
        <sz val="11"/>
        <color rgb="FF010101"/>
        <rFont val="Calibri"/>
        <family val="2"/>
        <charset val="238"/>
        <scheme val="minor"/>
      </rPr>
      <t>P17</t>
    </r>
  </si>
  <si>
    <r>
      <rPr>
        <sz val="11"/>
        <color rgb="FF010101"/>
        <rFont val="Calibri"/>
        <family val="2"/>
        <charset val="238"/>
        <scheme val="minor"/>
      </rPr>
      <t>B.302</t>
    </r>
  </si>
  <si>
    <r>
      <rPr>
        <sz val="11"/>
        <color rgb="FF010101"/>
        <rFont val="Calibri"/>
        <family val="2"/>
        <charset val="238"/>
        <scheme val="minor"/>
      </rPr>
      <t>B.303</t>
    </r>
  </si>
  <si>
    <r>
      <rPr>
        <sz val="11"/>
        <color rgb="FF010101"/>
        <rFont val="Calibri"/>
        <family val="2"/>
        <charset val="238"/>
        <scheme val="minor"/>
      </rPr>
      <t>C</t>
    </r>
    <r>
      <rPr>
        <sz val="11"/>
        <color rgb="FF545454"/>
        <rFont val="Calibri"/>
        <family val="2"/>
        <charset val="238"/>
        <scheme val="minor"/>
      </rPr>
      <t>.</t>
    </r>
    <r>
      <rPr>
        <sz val="11"/>
        <color rgb="FF010101"/>
        <rFont val="Calibri"/>
        <family val="2"/>
        <charset val="238"/>
        <scheme val="minor"/>
      </rPr>
      <t>302</t>
    </r>
  </si>
  <si>
    <r>
      <rPr>
        <sz val="11"/>
        <color rgb="FF010101"/>
        <rFont val="Calibri"/>
        <family val="2"/>
        <charset val="238"/>
        <scheme val="minor"/>
      </rPr>
      <t>EVAKUAČNÍ VÝTAH</t>
    </r>
  </si>
  <si>
    <r>
      <rPr>
        <sz val="11"/>
        <color rgb="FF010101"/>
        <rFont val="Calibri"/>
        <family val="2"/>
        <charset val="238"/>
        <scheme val="minor"/>
      </rPr>
      <t>C</t>
    </r>
    <r>
      <rPr>
        <sz val="11"/>
        <color rgb="FF2A2A2A"/>
        <rFont val="Calibri"/>
        <family val="2"/>
        <charset val="238"/>
        <scheme val="minor"/>
      </rPr>
      <t>.</t>
    </r>
    <r>
      <rPr>
        <sz val="11"/>
        <color rgb="FF010101"/>
        <rFont val="Calibri"/>
        <family val="2"/>
        <charset val="238"/>
        <scheme val="minor"/>
      </rPr>
      <t>303</t>
    </r>
  </si>
  <si>
    <r>
      <rPr>
        <sz val="11"/>
        <color rgb="FF010101"/>
        <rFont val="Calibri"/>
        <family val="2"/>
        <charset val="238"/>
        <scheme val="minor"/>
      </rPr>
      <t>A.402</t>
    </r>
  </si>
  <si>
    <r>
      <rPr>
        <sz val="11"/>
        <color rgb="FF010101"/>
        <rFont val="Calibri"/>
        <family val="2"/>
        <charset val="238"/>
        <scheme val="minor"/>
      </rPr>
      <t>A.403</t>
    </r>
  </si>
  <si>
    <r>
      <rPr>
        <sz val="11"/>
        <color rgb="FF010101"/>
        <rFont val="Calibri"/>
        <family val="2"/>
        <charset val="238"/>
        <scheme val="minor"/>
      </rPr>
      <t>B.402</t>
    </r>
  </si>
  <si>
    <r>
      <rPr>
        <sz val="11"/>
        <color rgb="FF010101"/>
        <rFont val="Calibri"/>
        <family val="2"/>
        <charset val="238"/>
        <scheme val="minor"/>
      </rPr>
      <t>B.403</t>
    </r>
  </si>
  <si>
    <r>
      <rPr>
        <sz val="11"/>
        <color rgb="FF010101"/>
        <rFont val="Calibri"/>
        <family val="2"/>
        <charset val="238"/>
        <scheme val="minor"/>
      </rPr>
      <t>C.402</t>
    </r>
  </si>
  <si>
    <r>
      <rPr>
        <sz val="11"/>
        <color rgb="FF010101"/>
        <rFont val="Calibri"/>
        <family val="2"/>
        <charset val="238"/>
        <scheme val="minor"/>
      </rPr>
      <t>C.403</t>
    </r>
  </si>
  <si>
    <r>
      <rPr>
        <sz val="11"/>
        <color rgb="FF030303"/>
        <rFont val="Calibri"/>
        <family val="2"/>
        <charset val="238"/>
        <scheme val="minor"/>
      </rPr>
      <t>C</t>
    </r>
    <r>
      <rPr>
        <sz val="11"/>
        <color rgb="FF565656"/>
        <rFont val="Calibri"/>
        <family val="2"/>
        <charset val="238"/>
        <scheme val="minor"/>
      </rPr>
      <t>.</t>
    </r>
    <r>
      <rPr>
        <sz val="11"/>
        <color rgb="FF030303"/>
        <rFont val="Calibri"/>
        <family val="2"/>
        <charset val="238"/>
        <scheme val="minor"/>
      </rPr>
      <t>217</t>
    </r>
  </si>
  <si>
    <r>
      <rPr>
        <sz val="11"/>
        <color rgb="FF030303"/>
        <rFont val="Calibri"/>
        <family val="2"/>
        <charset val="238"/>
        <scheme val="minor"/>
      </rPr>
      <t>TERASA</t>
    </r>
  </si>
  <si>
    <r>
      <rPr>
        <sz val="11"/>
        <color rgb="FF030303"/>
        <rFont val="Calibri"/>
        <family val="2"/>
        <charset val="238"/>
        <scheme val="minor"/>
      </rPr>
      <t>kamennná dlažba,</t>
    </r>
    <r>
      <rPr>
        <sz val="11"/>
        <rFont val="Calibri"/>
        <family val="2"/>
        <charset val="238"/>
        <scheme val="minor"/>
      </rPr>
      <t xml:space="preserve"> zeleň</t>
    </r>
  </si>
  <si>
    <r>
      <rPr>
        <sz val="11"/>
        <color rgb="FF030303"/>
        <rFont val="Calibri"/>
        <family val="2"/>
        <charset val="238"/>
        <scheme val="minor"/>
      </rPr>
      <t>T1</t>
    </r>
  </si>
  <si>
    <r>
      <rPr>
        <sz val="11"/>
        <color rgb="FF010101"/>
        <rFont val="Calibri"/>
        <family val="2"/>
        <charset val="238"/>
        <scheme val="minor"/>
      </rPr>
      <t>A</t>
    </r>
    <r>
      <rPr>
        <sz val="11"/>
        <color rgb="FF282828"/>
        <rFont val="Calibri"/>
        <family val="2"/>
        <charset val="238"/>
        <scheme val="minor"/>
      </rPr>
      <t>.</t>
    </r>
    <r>
      <rPr>
        <sz val="11"/>
        <color rgb="FF010101"/>
        <rFont val="Calibri"/>
        <family val="2"/>
        <charset val="238"/>
        <scheme val="minor"/>
      </rPr>
      <t>001</t>
    </r>
  </si>
  <si>
    <r>
      <rPr>
        <sz val="11"/>
        <color rgb="FF010101"/>
        <rFont val="Calibri"/>
        <family val="2"/>
        <charset val="238"/>
        <scheme val="minor"/>
      </rPr>
      <t>CHÚC</t>
    </r>
  </si>
  <si>
    <r>
      <rPr>
        <sz val="11"/>
        <color rgb="FF010101"/>
        <rFont val="Calibri"/>
        <family val="2"/>
        <charset val="238"/>
        <scheme val="minor"/>
      </rPr>
      <t>T5</t>
    </r>
  </si>
  <si>
    <r>
      <rPr>
        <sz val="11"/>
        <color rgb="FF010101"/>
        <rFont val="Calibri"/>
        <family val="2"/>
        <charset val="238"/>
        <scheme val="minor"/>
      </rPr>
      <t>A.004</t>
    </r>
  </si>
  <si>
    <r>
      <rPr>
        <sz val="11"/>
        <color rgb="FF010101"/>
        <rFont val="Calibri"/>
        <family val="2"/>
        <charset val="238"/>
        <scheme val="minor"/>
      </rPr>
      <t>PŘEDSÍŇ VÝTAHŮ</t>
    </r>
  </si>
  <si>
    <r>
      <rPr>
        <sz val="11"/>
        <color rgb="FF010101"/>
        <rFont val="Calibri"/>
        <family val="2"/>
        <charset val="238"/>
        <scheme val="minor"/>
      </rPr>
      <t>T1</t>
    </r>
  </si>
  <si>
    <r>
      <rPr>
        <sz val="11"/>
        <color rgb="FF010101"/>
        <rFont val="Calibri"/>
        <family val="2"/>
        <charset val="238"/>
        <scheme val="minor"/>
      </rPr>
      <t>A</t>
    </r>
    <r>
      <rPr>
        <sz val="11"/>
        <color rgb="FF282828"/>
        <rFont val="Calibri"/>
        <family val="2"/>
        <charset val="238"/>
        <scheme val="minor"/>
      </rPr>
      <t>.</t>
    </r>
    <r>
      <rPr>
        <sz val="11"/>
        <color rgb="FF010101"/>
        <rFont val="Calibri"/>
        <family val="2"/>
        <charset val="238"/>
        <scheme val="minor"/>
      </rPr>
      <t>005</t>
    </r>
  </si>
  <si>
    <r>
      <rPr>
        <sz val="11"/>
        <color rgb="FF010101"/>
        <rFont val="Calibri"/>
        <family val="2"/>
        <charset val="238"/>
        <scheme val="minor"/>
      </rPr>
      <t>CHODBA</t>
    </r>
  </si>
  <si>
    <r>
      <rPr>
        <sz val="11"/>
        <color rgb="FF010101"/>
        <rFont val="Calibri"/>
        <family val="2"/>
        <charset val="238"/>
        <scheme val="minor"/>
      </rPr>
      <t>A.006</t>
    </r>
  </si>
  <si>
    <r>
      <rPr>
        <sz val="11"/>
        <color rgb="FF010101"/>
        <rFont val="Calibri"/>
        <family val="2"/>
        <charset val="238"/>
        <scheme val="minor"/>
      </rPr>
      <t>A</t>
    </r>
    <r>
      <rPr>
        <sz val="11"/>
        <color rgb="FF282828"/>
        <rFont val="Calibri"/>
        <family val="2"/>
        <charset val="238"/>
        <scheme val="minor"/>
      </rPr>
      <t>.</t>
    </r>
    <r>
      <rPr>
        <sz val="11"/>
        <color rgb="FF010101"/>
        <rFont val="Calibri"/>
        <family val="2"/>
        <charset val="238"/>
        <scheme val="minor"/>
      </rPr>
      <t>007</t>
    </r>
  </si>
  <si>
    <r>
      <rPr>
        <sz val="11"/>
        <color rgb="FF010101"/>
        <rFont val="Calibri"/>
        <family val="2"/>
        <charset val="238"/>
        <scheme val="minor"/>
      </rPr>
      <t>VÝMĚNÍKOVÁ  STANICE</t>
    </r>
  </si>
  <si>
    <r>
      <rPr>
        <sz val="11"/>
        <color rgb="FF010101"/>
        <rFont val="Calibri"/>
        <family val="2"/>
        <charset val="238"/>
        <scheme val="minor"/>
      </rPr>
      <t>A.008</t>
    </r>
  </si>
  <si>
    <r>
      <rPr>
        <sz val="11"/>
        <color rgb="FF010101"/>
        <rFont val="Calibri"/>
        <family val="2"/>
        <charset val="238"/>
        <scheme val="minor"/>
      </rPr>
      <t>VZT VODOLÉČBA</t>
    </r>
  </si>
  <si>
    <r>
      <rPr>
        <sz val="11"/>
        <color rgb="FF010101"/>
        <rFont val="Calibri"/>
        <family val="2"/>
        <charset val="238"/>
        <scheme val="minor"/>
      </rPr>
      <t>A</t>
    </r>
    <r>
      <rPr>
        <sz val="11"/>
        <color rgb="FF282828"/>
        <rFont val="Calibri"/>
        <family val="2"/>
        <charset val="238"/>
        <scheme val="minor"/>
      </rPr>
      <t>.</t>
    </r>
    <r>
      <rPr>
        <sz val="11"/>
        <color rgb="FF010101"/>
        <rFont val="Calibri"/>
        <family val="2"/>
        <charset val="238"/>
        <scheme val="minor"/>
      </rPr>
      <t>009</t>
    </r>
  </si>
  <si>
    <r>
      <rPr>
        <sz val="11"/>
        <color rgb="FF010101"/>
        <rFont val="Calibri"/>
        <family val="2"/>
        <charset val="238"/>
        <scheme val="minor"/>
      </rPr>
      <t>SKLAD ODPADU</t>
    </r>
  </si>
  <si>
    <r>
      <rPr>
        <sz val="11"/>
        <color rgb="FF010101"/>
        <rFont val="Calibri"/>
        <family val="2"/>
        <charset val="238"/>
        <scheme val="minor"/>
      </rPr>
      <t>A.010</t>
    </r>
  </si>
  <si>
    <r>
      <rPr>
        <sz val="11"/>
        <color rgb="FF010101"/>
        <rFont val="Calibri"/>
        <family val="2"/>
        <charset val="238"/>
        <scheme val="minor"/>
      </rPr>
      <t>DIESELAGREGÁT</t>
    </r>
  </si>
  <si>
    <r>
      <rPr>
        <sz val="11"/>
        <color rgb="FF010101"/>
        <rFont val="Calibri"/>
        <family val="2"/>
        <charset val="238"/>
        <scheme val="minor"/>
      </rPr>
      <t>A.011</t>
    </r>
  </si>
  <si>
    <r>
      <rPr>
        <sz val="11"/>
        <color rgb="FF010101"/>
        <rFont val="Calibri"/>
        <family val="2"/>
        <charset val="238"/>
        <scheme val="minor"/>
      </rPr>
      <t>NN ROZVODNA</t>
    </r>
  </si>
  <si>
    <r>
      <rPr>
        <sz val="11"/>
        <color rgb="FF010101"/>
        <rFont val="Calibri"/>
        <family val="2"/>
        <charset val="238"/>
        <scheme val="minor"/>
      </rPr>
      <t>A.012</t>
    </r>
  </si>
  <si>
    <r>
      <rPr>
        <sz val="11"/>
        <color rgb="FF010101"/>
        <rFont val="Calibri"/>
        <family val="2"/>
        <charset val="238"/>
        <scheme val="minor"/>
      </rPr>
      <t>POŽÁRNÍ ROZVODNA</t>
    </r>
  </si>
  <si>
    <r>
      <rPr>
        <sz val="11"/>
        <color rgb="FF010101"/>
        <rFont val="Calibri"/>
        <family val="2"/>
        <charset val="238"/>
        <scheme val="minor"/>
      </rPr>
      <t>A.013</t>
    </r>
  </si>
  <si>
    <r>
      <rPr>
        <sz val="11"/>
        <color rgb="FF010101"/>
        <rFont val="Calibri"/>
        <family val="2"/>
        <charset val="238"/>
        <scheme val="minor"/>
      </rPr>
      <t>EPS</t>
    </r>
  </si>
  <si>
    <r>
      <rPr>
        <sz val="11"/>
        <color rgb="FF010101"/>
        <rFont val="Calibri"/>
        <family val="2"/>
        <charset val="238"/>
        <scheme val="minor"/>
      </rPr>
      <t>A.014</t>
    </r>
  </si>
  <si>
    <r>
      <rPr>
        <sz val="11"/>
        <color rgb="FF010101"/>
        <rFont val="Calibri"/>
        <family val="2"/>
        <charset val="238"/>
        <scheme val="minor"/>
      </rPr>
      <t>SKLAD ZAHRADA</t>
    </r>
  </si>
  <si>
    <r>
      <rPr>
        <sz val="11"/>
        <color rgb="FF010101"/>
        <rFont val="Calibri"/>
        <family val="2"/>
        <charset val="238"/>
        <scheme val="minor"/>
      </rPr>
      <t>A.015</t>
    </r>
  </si>
  <si>
    <r>
      <rPr>
        <sz val="11"/>
        <color rgb="FF010101"/>
        <rFont val="Calibri"/>
        <family val="2"/>
        <charset val="238"/>
        <scheme val="minor"/>
      </rPr>
      <t>DÍLNA</t>
    </r>
  </si>
  <si>
    <r>
      <rPr>
        <sz val="11"/>
        <color rgb="FF010101"/>
        <rFont val="Calibri"/>
        <family val="2"/>
        <charset val="238"/>
        <scheme val="minor"/>
      </rPr>
      <t>A.016</t>
    </r>
  </si>
  <si>
    <r>
      <rPr>
        <sz val="11"/>
        <color rgb="FF010101"/>
        <rFont val="Calibri"/>
        <family val="2"/>
        <charset val="238"/>
        <scheme val="minor"/>
      </rPr>
      <t>ZÁSOBOVACÍ PODESTA</t>
    </r>
  </si>
  <si>
    <r>
      <rPr>
        <sz val="11"/>
        <color rgb="FF010101"/>
        <rFont val="Calibri"/>
        <family val="2"/>
        <charset val="238"/>
        <scheme val="minor"/>
      </rPr>
      <t>T2</t>
    </r>
  </si>
  <si>
    <r>
      <rPr>
        <sz val="11"/>
        <color rgb="FF010101"/>
        <rFont val="Calibri"/>
        <family val="2"/>
        <charset val="238"/>
        <scheme val="minor"/>
      </rPr>
      <t>A.017</t>
    </r>
  </si>
  <si>
    <r>
      <rPr>
        <sz val="11"/>
        <color rgb="FF010101"/>
        <rFont val="Calibri"/>
        <family val="2"/>
        <charset val="238"/>
        <scheme val="minor"/>
      </rPr>
      <t>ZÁSOBOVACÍ STÁNÍ</t>
    </r>
  </si>
  <si>
    <r>
      <rPr>
        <sz val="11"/>
        <color rgb="FF010101"/>
        <rFont val="Calibri"/>
        <family val="2"/>
        <charset val="238"/>
        <scheme val="minor"/>
      </rPr>
      <t>A.018</t>
    </r>
  </si>
  <si>
    <r>
      <rPr>
        <sz val="11"/>
        <color rgb="FF010101"/>
        <rFont val="Calibri"/>
        <family val="2"/>
        <charset val="238"/>
        <scheme val="minor"/>
      </rPr>
      <t>TECH</t>
    </r>
    <r>
      <rPr>
        <sz val="11"/>
        <color rgb="FF3F3F3F"/>
        <rFont val="Calibri"/>
        <family val="2"/>
        <charset val="238"/>
        <scheme val="minor"/>
      </rPr>
      <t xml:space="preserve">. </t>
    </r>
    <r>
      <rPr>
        <sz val="11"/>
        <color rgb="FF010101"/>
        <rFont val="Calibri"/>
        <family val="2"/>
        <charset val="238"/>
        <scheme val="minor"/>
      </rPr>
      <t>PROSTOR</t>
    </r>
  </si>
  <si>
    <r>
      <rPr>
        <sz val="11"/>
        <color rgb="FF010101"/>
        <rFont val="Calibri"/>
        <family val="2"/>
        <charset val="238"/>
        <scheme val="minor"/>
      </rPr>
      <t>B.001</t>
    </r>
  </si>
  <si>
    <r>
      <rPr>
        <sz val="11"/>
        <color rgb="FF010101"/>
        <rFont val="Calibri"/>
        <family val="2"/>
        <charset val="238"/>
        <scheme val="minor"/>
      </rPr>
      <t>B.004</t>
    </r>
  </si>
  <si>
    <r>
      <rPr>
        <sz val="11"/>
        <color rgb="FF010101"/>
        <rFont val="Calibri"/>
        <family val="2"/>
        <charset val="238"/>
        <scheme val="minor"/>
      </rPr>
      <t>B.005</t>
    </r>
  </si>
  <si>
    <r>
      <rPr>
        <sz val="11"/>
        <color rgb="FF010101"/>
        <rFont val="Calibri"/>
        <family val="2"/>
        <charset val="238"/>
        <scheme val="minor"/>
      </rPr>
      <t>B</t>
    </r>
    <r>
      <rPr>
        <sz val="11"/>
        <color rgb="FF333333"/>
        <rFont val="Calibri"/>
        <family val="2"/>
        <charset val="238"/>
        <scheme val="minor"/>
      </rPr>
      <t>.</t>
    </r>
    <r>
      <rPr>
        <sz val="11"/>
        <color rgb="FF010101"/>
        <rFont val="Calibri"/>
        <family val="2"/>
        <charset val="238"/>
        <scheme val="minor"/>
      </rPr>
      <t>006a</t>
    </r>
  </si>
  <si>
    <r>
      <rPr>
        <sz val="11"/>
        <color rgb="FF010101"/>
        <rFont val="Calibri"/>
        <family val="2"/>
        <charset val="238"/>
        <scheme val="minor"/>
      </rPr>
      <t>B.006b</t>
    </r>
  </si>
  <si>
    <r>
      <rPr>
        <sz val="11"/>
        <color rgb="FF010101"/>
        <rFont val="Calibri"/>
        <family val="2"/>
        <charset val="238"/>
        <scheme val="minor"/>
      </rPr>
      <t>MANIPULAČNÍ PROSTOR</t>
    </r>
  </si>
  <si>
    <r>
      <rPr>
        <sz val="11"/>
        <color rgb="FF010101"/>
        <rFont val="Calibri"/>
        <family val="2"/>
        <charset val="238"/>
        <scheme val="minor"/>
      </rPr>
      <t>B</t>
    </r>
    <r>
      <rPr>
        <sz val="11"/>
        <color rgb="FF333333"/>
        <rFont val="Calibri"/>
        <family val="2"/>
        <charset val="238"/>
        <scheme val="minor"/>
      </rPr>
      <t>.</t>
    </r>
    <r>
      <rPr>
        <sz val="11"/>
        <color rgb="FF010101"/>
        <rFont val="Calibri"/>
        <family val="2"/>
        <charset val="238"/>
        <scheme val="minor"/>
      </rPr>
      <t>007a</t>
    </r>
  </si>
  <si>
    <r>
      <rPr>
        <sz val="11"/>
        <color rgb="FF010101"/>
        <rFont val="Calibri"/>
        <family val="2"/>
        <charset val="238"/>
        <scheme val="minor"/>
      </rPr>
      <t>B.007b</t>
    </r>
  </si>
  <si>
    <r>
      <rPr>
        <sz val="11"/>
        <color rgb="FF010101"/>
        <rFont val="Calibri"/>
        <family val="2"/>
        <charset val="238"/>
        <scheme val="minor"/>
      </rPr>
      <t>B</t>
    </r>
    <r>
      <rPr>
        <sz val="11"/>
        <color rgb="FF232323"/>
        <rFont val="Calibri"/>
        <family val="2"/>
        <charset val="238"/>
        <scheme val="minor"/>
      </rPr>
      <t>.</t>
    </r>
    <r>
      <rPr>
        <sz val="11"/>
        <color rgb="FF010101"/>
        <rFont val="Calibri"/>
        <family val="2"/>
        <charset val="238"/>
        <scheme val="minor"/>
      </rPr>
      <t>008</t>
    </r>
  </si>
  <si>
    <r>
      <rPr>
        <sz val="11"/>
        <color rgb="FF010101"/>
        <rFont val="Calibri"/>
        <family val="2"/>
        <charset val="238"/>
        <scheme val="minor"/>
      </rPr>
      <t>BOJLEROVNA</t>
    </r>
  </si>
  <si>
    <r>
      <rPr>
        <sz val="11"/>
        <color rgb="FF010101"/>
        <rFont val="Calibri"/>
        <family val="2"/>
        <charset val="238"/>
        <scheme val="minor"/>
      </rPr>
      <t>B.009</t>
    </r>
  </si>
  <si>
    <r>
      <rPr>
        <sz val="11"/>
        <color rgb="FF010101"/>
        <rFont val="Calibri"/>
        <family val="2"/>
        <charset val="238"/>
        <scheme val="minor"/>
      </rPr>
      <t>B</t>
    </r>
    <r>
      <rPr>
        <sz val="11"/>
        <color rgb="FF484848"/>
        <rFont val="Calibri"/>
        <family val="2"/>
        <charset val="238"/>
        <scheme val="minor"/>
      </rPr>
      <t>.</t>
    </r>
    <r>
      <rPr>
        <sz val="11"/>
        <color rgb="FF010101"/>
        <rFont val="Calibri"/>
        <family val="2"/>
        <charset val="238"/>
        <scheme val="minor"/>
      </rPr>
      <t>010</t>
    </r>
  </si>
  <si>
    <r>
      <rPr>
        <sz val="11"/>
        <color rgb="FF010101"/>
        <rFont val="Calibri"/>
        <family val="2"/>
        <charset val="238"/>
        <scheme val="minor"/>
      </rPr>
      <t>STROJOVNA</t>
    </r>
    <r>
      <rPr>
        <sz val="11"/>
        <color rgb="FF565656"/>
        <rFont val="Calibri"/>
        <family val="2"/>
        <charset val="238"/>
        <scheme val="minor"/>
      </rPr>
      <t xml:space="preserve"> </t>
    </r>
    <r>
      <rPr>
        <sz val="11"/>
        <color rgb="FF010101"/>
        <rFont val="Calibri"/>
        <family val="2"/>
        <charset val="238"/>
        <scheme val="minor"/>
      </rPr>
      <t>VZT - GASTRO</t>
    </r>
    <r>
      <rPr>
        <sz val="11"/>
        <color rgb="FF232323"/>
        <rFont val="Calibri"/>
        <family val="2"/>
        <charset val="238"/>
        <scheme val="minor"/>
      </rPr>
      <t xml:space="preserve">, </t>
    </r>
    <r>
      <rPr>
        <sz val="11"/>
        <color rgb="FF010101"/>
        <rFont val="Calibri"/>
        <family val="2"/>
        <charset val="238"/>
        <scheme val="minor"/>
      </rPr>
      <t>PRÁDELNA, ŠATNY</t>
    </r>
  </si>
  <si>
    <r>
      <rPr>
        <sz val="11"/>
        <color rgb="FF010101"/>
        <rFont val="Calibri"/>
        <family val="2"/>
        <charset val="238"/>
        <scheme val="minor"/>
      </rPr>
      <t>B</t>
    </r>
    <r>
      <rPr>
        <sz val="11"/>
        <color rgb="FF484848"/>
        <rFont val="Calibri"/>
        <family val="2"/>
        <charset val="238"/>
        <scheme val="minor"/>
      </rPr>
      <t>.</t>
    </r>
    <r>
      <rPr>
        <sz val="11"/>
        <color rgb="FF010101"/>
        <rFont val="Calibri"/>
        <family val="2"/>
        <charset val="238"/>
        <scheme val="minor"/>
      </rPr>
      <t>011</t>
    </r>
  </si>
  <si>
    <r>
      <rPr>
        <sz val="11"/>
        <color rgb="FF010101"/>
        <rFont val="Calibri"/>
        <family val="2"/>
        <charset val="238"/>
        <scheme val="minor"/>
      </rPr>
      <t>SERVER</t>
    </r>
  </si>
  <si>
    <r>
      <rPr>
        <sz val="11"/>
        <color rgb="FF010101"/>
        <rFont val="Calibri"/>
        <family val="2"/>
        <charset val="238"/>
        <scheme val="minor"/>
      </rPr>
      <t>B</t>
    </r>
    <r>
      <rPr>
        <sz val="11"/>
        <color rgb="FF565656"/>
        <rFont val="Calibri"/>
        <family val="2"/>
        <charset val="238"/>
        <scheme val="minor"/>
      </rPr>
      <t>.</t>
    </r>
    <r>
      <rPr>
        <sz val="11"/>
        <color rgb="FF010101"/>
        <rFont val="Calibri"/>
        <family val="2"/>
        <charset val="238"/>
        <scheme val="minor"/>
      </rPr>
      <t>013</t>
    </r>
  </si>
  <si>
    <r>
      <rPr>
        <sz val="11"/>
        <color rgb="FF010101"/>
        <rFont val="Calibri"/>
        <family val="2"/>
        <charset val="238"/>
        <scheme val="minor"/>
      </rPr>
      <t>SKLAD ZDRAV</t>
    </r>
    <r>
      <rPr>
        <sz val="11"/>
        <color rgb="FF484848"/>
        <rFont val="Calibri"/>
        <family val="2"/>
        <charset val="238"/>
        <scheme val="minor"/>
      </rPr>
      <t xml:space="preserve">. </t>
    </r>
    <r>
      <rPr>
        <sz val="11"/>
        <color rgb="FF010101"/>
        <rFont val="Calibri"/>
        <family val="2"/>
        <charset val="238"/>
        <scheme val="minor"/>
      </rPr>
      <t>MATERIÁLU</t>
    </r>
  </si>
  <si>
    <r>
      <rPr>
        <sz val="11"/>
        <color rgb="FF010101"/>
        <rFont val="Calibri"/>
        <family val="2"/>
        <charset val="238"/>
        <scheme val="minor"/>
      </rPr>
      <t>C</t>
    </r>
    <r>
      <rPr>
        <sz val="11"/>
        <color rgb="FF232323"/>
        <rFont val="Calibri"/>
        <family val="2"/>
        <charset val="238"/>
        <scheme val="minor"/>
      </rPr>
      <t>.</t>
    </r>
    <r>
      <rPr>
        <sz val="11"/>
        <color rgb="FF010101"/>
        <rFont val="Calibri"/>
        <family val="2"/>
        <charset val="238"/>
        <scheme val="minor"/>
      </rPr>
      <t>001</t>
    </r>
  </si>
  <si>
    <r>
      <rPr>
        <sz val="11"/>
        <color rgb="FF010101"/>
        <rFont val="Calibri"/>
        <family val="2"/>
        <charset val="238"/>
        <scheme val="minor"/>
      </rPr>
      <t>C</t>
    </r>
    <r>
      <rPr>
        <sz val="11"/>
        <color rgb="FF525252"/>
        <rFont val="Calibri"/>
        <family val="2"/>
        <charset val="238"/>
        <scheme val="minor"/>
      </rPr>
      <t>.</t>
    </r>
    <r>
      <rPr>
        <sz val="11"/>
        <color rgb="FF010101"/>
        <rFont val="Calibri"/>
        <family val="2"/>
        <charset val="238"/>
        <scheme val="minor"/>
      </rPr>
      <t>004</t>
    </r>
  </si>
  <si>
    <r>
      <rPr>
        <sz val="11"/>
        <color rgb="FF010101"/>
        <rFont val="Calibri"/>
        <family val="2"/>
        <charset val="238"/>
        <scheme val="minor"/>
      </rPr>
      <t>C</t>
    </r>
    <r>
      <rPr>
        <sz val="11"/>
        <color rgb="FF3D3D3D"/>
        <rFont val="Calibri"/>
        <family val="2"/>
        <charset val="238"/>
        <scheme val="minor"/>
      </rPr>
      <t>.</t>
    </r>
    <r>
      <rPr>
        <sz val="11"/>
        <color rgb="FF010101"/>
        <rFont val="Calibri"/>
        <family val="2"/>
        <charset val="238"/>
        <scheme val="minor"/>
      </rPr>
      <t>005</t>
    </r>
  </si>
  <si>
    <r>
      <rPr>
        <sz val="11"/>
        <color rgb="FF010101"/>
        <rFont val="Calibri"/>
        <family val="2"/>
        <charset val="238"/>
        <scheme val="minor"/>
      </rPr>
      <t>ÚKLID/SKLAD ČIST. PROSTŘEDKŮ</t>
    </r>
  </si>
  <si>
    <r>
      <rPr>
        <sz val="11"/>
        <color rgb="FF010101"/>
        <rFont val="Calibri"/>
        <family val="2"/>
        <charset val="238"/>
        <scheme val="minor"/>
      </rPr>
      <t>C</t>
    </r>
    <r>
      <rPr>
        <sz val="11"/>
        <color rgb="FF525252"/>
        <rFont val="Calibri"/>
        <family val="2"/>
        <charset val="238"/>
        <scheme val="minor"/>
      </rPr>
      <t>.</t>
    </r>
    <r>
      <rPr>
        <sz val="11"/>
        <color rgb="FF010101"/>
        <rFont val="Calibri"/>
        <family val="2"/>
        <charset val="238"/>
        <scheme val="minor"/>
      </rPr>
      <t>006</t>
    </r>
  </si>
  <si>
    <r>
      <rPr>
        <sz val="11"/>
        <color rgb="FF010101"/>
        <rFont val="Calibri"/>
        <family val="2"/>
        <charset val="238"/>
        <scheme val="minor"/>
      </rPr>
      <t>STROJOVNA VZT - HALA, ADMINISTRATIVA, ŠATNY 1</t>
    </r>
    <r>
      <rPr>
        <sz val="11"/>
        <color rgb="FF232323"/>
        <rFont val="Calibri"/>
        <family val="2"/>
        <charset val="238"/>
        <scheme val="minor"/>
      </rPr>
      <t>.</t>
    </r>
    <r>
      <rPr>
        <sz val="11"/>
        <color rgb="FF010101"/>
        <rFont val="Calibri"/>
        <family val="2"/>
        <charset val="238"/>
        <scheme val="minor"/>
      </rPr>
      <t>NP</t>
    </r>
  </si>
  <si>
    <r>
      <rPr>
        <sz val="11"/>
        <color rgb="FF010101"/>
        <rFont val="Calibri"/>
        <family val="2"/>
        <charset val="238"/>
        <scheme val="minor"/>
      </rPr>
      <t>C</t>
    </r>
    <r>
      <rPr>
        <sz val="11"/>
        <color rgb="FF232323"/>
        <rFont val="Calibri"/>
        <family val="2"/>
        <charset val="238"/>
        <scheme val="minor"/>
      </rPr>
      <t>.</t>
    </r>
    <r>
      <rPr>
        <sz val="11"/>
        <color rgb="FF010101"/>
        <rFont val="Calibri"/>
        <family val="2"/>
        <charset val="238"/>
        <scheme val="minor"/>
      </rPr>
      <t>007</t>
    </r>
  </si>
  <si>
    <r>
      <rPr>
        <sz val="11"/>
        <color rgb="FF010101"/>
        <rFont val="Calibri"/>
        <family val="2"/>
        <charset val="238"/>
        <scheme val="minor"/>
      </rPr>
      <t>SKLAD LŮŽEK A VOZÍKŮ</t>
    </r>
  </si>
  <si>
    <r>
      <rPr>
        <sz val="11"/>
        <color rgb="FF010101"/>
        <rFont val="Calibri"/>
        <family val="2"/>
        <charset val="238"/>
        <scheme val="minor"/>
      </rPr>
      <t>C</t>
    </r>
    <r>
      <rPr>
        <sz val="11"/>
        <color rgb="FF3D3D3D"/>
        <rFont val="Calibri"/>
        <family val="2"/>
        <charset val="238"/>
        <scheme val="minor"/>
      </rPr>
      <t>.</t>
    </r>
    <r>
      <rPr>
        <sz val="11"/>
        <color rgb="FF010101"/>
        <rFont val="Calibri"/>
        <family val="2"/>
        <charset val="238"/>
        <scheme val="minor"/>
      </rPr>
      <t>008</t>
    </r>
  </si>
  <si>
    <r>
      <rPr>
        <sz val="11"/>
        <color rgb="FF010101"/>
        <rFont val="Calibri"/>
        <family val="2"/>
        <charset val="238"/>
        <scheme val="minor"/>
      </rPr>
      <t>SKLAD NÁBYTKU</t>
    </r>
  </si>
  <si>
    <r>
      <rPr>
        <sz val="11"/>
        <color rgb="FF010101"/>
        <rFont val="Calibri"/>
        <family val="2"/>
        <charset val="238"/>
        <scheme val="minor"/>
      </rPr>
      <t>C</t>
    </r>
    <r>
      <rPr>
        <sz val="11"/>
        <color rgb="FF525252"/>
        <rFont val="Calibri"/>
        <family val="2"/>
        <charset val="238"/>
        <scheme val="minor"/>
      </rPr>
      <t>.</t>
    </r>
    <r>
      <rPr>
        <sz val="11"/>
        <color rgb="FF010101"/>
        <rFont val="Calibri"/>
        <family val="2"/>
        <charset val="238"/>
        <scheme val="minor"/>
      </rPr>
      <t>009</t>
    </r>
  </si>
  <si>
    <r>
      <rPr>
        <sz val="11"/>
        <color rgb="FF010101"/>
        <rFont val="Calibri"/>
        <family val="2"/>
        <charset val="238"/>
        <scheme val="minor"/>
      </rPr>
      <t>MÍSTNOST PRO ZEMŘELÉ</t>
    </r>
  </si>
  <si>
    <r>
      <rPr>
        <sz val="11"/>
        <color rgb="FF010101"/>
        <rFont val="Calibri"/>
        <family val="2"/>
        <charset val="238"/>
        <scheme val="minor"/>
      </rPr>
      <t>C</t>
    </r>
    <r>
      <rPr>
        <sz val="11"/>
        <color rgb="FF525252"/>
        <rFont val="Calibri"/>
        <family val="2"/>
        <charset val="238"/>
        <scheme val="minor"/>
      </rPr>
      <t>.</t>
    </r>
    <r>
      <rPr>
        <sz val="11"/>
        <color rgb="FF010101"/>
        <rFont val="Calibri"/>
        <family val="2"/>
        <charset val="238"/>
        <scheme val="minor"/>
      </rPr>
      <t>010</t>
    </r>
  </si>
  <si>
    <r>
      <rPr>
        <sz val="11"/>
        <color rgb="FF030303"/>
        <rFont val="Calibri"/>
        <family val="2"/>
        <charset val="238"/>
        <scheme val="minor"/>
      </rPr>
      <t>A</t>
    </r>
    <r>
      <rPr>
        <sz val="11"/>
        <color rgb="FF262626"/>
        <rFont val="Calibri"/>
        <family val="2"/>
        <charset val="238"/>
        <scheme val="minor"/>
      </rPr>
      <t>.</t>
    </r>
    <r>
      <rPr>
        <sz val="11"/>
        <color rgb="FF030303"/>
        <rFont val="Calibri"/>
        <family val="2"/>
        <charset val="238"/>
        <scheme val="minor"/>
      </rPr>
      <t>108</t>
    </r>
  </si>
  <si>
    <r>
      <rPr>
        <sz val="11"/>
        <color rgb="FF030303"/>
        <rFont val="Calibri"/>
        <family val="2"/>
        <charset val="238"/>
        <scheme val="minor"/>
      </rPr>
      <t>AMBULANCE</t>
    </r>
  </si>
  <si>
    <r>
      <rPr>
        <sz val="11"/>
        <color rgb="FF030303"/>
        <rFont val="Calibri"/>
        <family val="2"/>
        <charset val="238"/>
        <scheme val="minor"/>
      </rPr>
      <t>T3</t>
    </r>
  </si>
  <si>
    <r>
      <rPr>
        <sz val="11"/>
        <color rgb="FF030303"/>
        <rFont val="Calibri"/>
        <family val="2"/>
        <charset val="238"/>
        <scheme val="minor"/>
      </rPr>
      <t>A</t>
    </r>
    <r>
      <rPr>
        <sz val="11"/>
        <color rgb="FF525252"/>
        <rFont val="Calibri"/>
        <family val="2"/>
        <charset val="238"/>
        <scheme val="minor"/>
      </rPr>
      <t>.</t>
    </r>
    <r>
      <rPr>
        <sz val="11"/>
        <color rgb="FF030303"/>
        <rFont val="Calibri"/>
        <family val="2"/>
        <charset val="238"/>
        <scheme val="minor"/>
      </rPr>
      <t>110</t>
    </r>
  </si>
  <si>
    <r>
      <rPr>
        <sz val="11"/>
        <color rgb="FF030303"/>
        <rFont val="Calibri"/>
        <family val="2"/>
        <charset val="238"/>
        <scheme val="minor"/>
      </rPr>
      <t>A</t>
    </r>
    <r>
      <rPr>
        <sz val="11"/>
        <color rgb="FF525252"/>
        <rFont val="Calibri"/>
        <family val="2"/>
        <charset val="238"/>
        <scheme val="minor"/>
      </rPr>
      <t>.</t>
    </r>
    <r>
      <rPr>
        <sz val="11"/>
        <color rgb="FF030303"/>
        <rFont val="Calibri"/>
        <family val="2"/>
        <charset val="238"/>
        <scheme val="minor"/>
      </rPr>
      <t>111</t>
    </r>
  </si>
  <si>
    <r>
      <rPr>
        <sz val="11"/>
        <color rgb="FF030303"/>
        <rFont val="Calibri"/>
        <family val="2"/>
        <charset val="238"/>
        <scheme val="minor"/>
      </rPr>
      <t>ZÁKROKOVÝ  SÁL</t>
    </r>
  </si>
  <si>
    <r>
      <rPr>
        <sz val="11"/>
        <color rgb="FF030303"/>
        <rFont val="Calibri"/>
        <family val="2"/>
        <charset val="238"/>
        <scheme val="minor"/>
      </rPr>
      <t>A</t>
    </r>
    <r>
      <rPr>
        <sz val="11"/>
        <color rgb="FF424242"/>
        <rFont val="Calibri"/>
        <family val="2"/>
        <charset val="238"/>
        <scheme val="minor"/>
      </rPr>
      <t>.</t>
    </r>
    <r>
      <rPr>
        <sz val="11"/>
        <color rgb="FF030303"/>
        <rFont val="Calibri"/>
        <family val="2"/>
        <charset val="238"/>
        <scheme val="minor"/>
      </rPr>
      <t>112</t>
    </r>
  </si>
  <si>
    <r>
      <rPr>
        <sz val="11"/>
        <color rgb="FF030303"/>
        <rFont val="Calibri"/>
        <family val="2"/>
        <charset val="238"/>
        <scheme val="minor"/>
      </rPr>
      <t>SESTERNA</t>
    </r>
  </si>
  <si>
    <r>
      <rPr>
        <sz val="11"/>
        <color rgb="FF030303"/>
        <rFont val="Calibri"/>
        <family val="2"/>
        <charset val="238"/>
        <scheme val="minor"/>
      </rPr>
      <t>H.129</t>
    </r>
  </si>
  <si>
    <r>
      <rPr>
        <sz val="11"/>
        <color rgb="FF030303"/>
        <rFont val="Calibri"/>
        <family val="2"/>
        <charset val="238"/>
        <scheme val="minor"/>
      </rPr>
      <t>ZÁVĚTŘÍ SE SCHODIŠTĚM</t>
    </r>
  </si>
  <si>
    <r>
      <rPr>
        <sz val="11"/>
        <color rgb="FF030303"/>
        <rFont val="Calibri"/>
        <family val="2"/>
        <charset val="238"/>
        <scheme val="minor"/>
      </rPr>
      <t>H</t>
    </r>
    <r>
      <rPr>
        <sz val="11"/>
        <color rgb="FF444444"/>
        <rFont val="Calibri"/>
        <family val="2"/>
        <charset val="238"/>
        <scheme val="minor"/>
      </rPr>
      <t>.</t>
    </r>
    <r>
      <rPr>
        <sz val="11"/>
        <color rgb="FF030303"/>
        <rFont val="Calibri"/>
        <family val="2"/>
        <charset val="238"/>
        <scheme val="minor"/>
      </rPr>
      <t>128</t>
    </r>
  </si>
  <si>
    <r>
      <rPr>
        <sz val="11"/>
        <color rgb="FF030303"/>
        <rFont val="Calibri"/>
        <family val="2"/>
        <charset val="238"/>
        <scheme val="minor"/>
      </rPr>
      <t>PŘEDJEZD SANITKA</t>
    </r>
  </si>
  <si>
    <r>
      <rPr>
        <sz val="11"/>
        <color rgb="FF030303"/>
        <rFont val="Calibri"/>
        <family val="2"/>
        <charset val="238"/>
        <scheme val="minor"/>
      </rPr>
      <t>A.331a</t>
    </r>
  </si>
  <si>
    <r>
      <rPr>
        <sz val="11"/>
        <color rgb="FF030303"/>
        <rFont val="Calibri"/>
        <family val="2"/>
        <charset val="238"/>
        <scheme val="minor"/>
      </rPr>
      <t>A</t>
    </r>
    <r>
      <rPr>
        <sz val="11"/>
        <color rgb="FF424242"/>
        <rFont val="Calibri"/>
        <family val="2"/>
        <charset val="238"/>
        <scheme val="minor"/>
      </rPr>
      <t>.</t>
    </r>
    <r>
      <rPr>
        <sz val="11"/>
        <color rgb="FF030303"/>
        <rFont val="Calibri"/>
        <family val="2"/>
        <charset val="238"/>
        <scheme val="minor"/>
      </rPr>
      <t>331b</t>
    </r>
  </si>
  <si>
    <r>
      <rPr>
        <sz val="11"/>
        <color rgb="FF030303"/>
        <rFont val="Calibri"/>
        <family val="2"/>
        <charset val="238"/>
        <scheme val="minor"/>
      </rPr>
      <t>PRACOVNA LÉKAŘE</t>
    </r>
  </si>
  <si>
    <r>
      <rPr>
        <sz val="11"/>
        <color rgb="FF030303"/>
        <rFont val="Calibri"/>
        <family val="2"/>
        <charset val="238"/>
        <scheme val="minor"/>
      </rPr>
      <t>2400</t>
    </r>
    <r>
      <rPr>
        <sz val="11"/>
        <color rgb="FF1C1C1C"/>
        <rFont val="Calibri"/>
        <family val="2"/>
        <charset val="238"/>
        <scheme val="minor"/>
      </rPr>
      <t xml:space="preserve">, </t>
    </r>
    <r>
      <rPr>
        <sz val="11"/>
        <color rgb="FF030303"/>
        <rFont val="Calibri"/>
        <family val="2"/>
        <charset val="238"/>
        <scheme val="minor"/>
      </rPr>
      <t>2670</t>
    </r>
  </si>
  <si>
    <r>
      <rPr>
        <sz val="11"/>
        <color rgb="FF030303"/>
        <rFont val="Calibri"/>
        <family val="2"/>
        <charset val="238"/>
        <scheme val="minor"/>
      </rPr>
      <t>T</t>
    </r>
    <r>
      <rPr>
        <sz val="11"/>
        <color rgb="FF1C1C1C"/>
        <rFont val="Calibri"/>
        <family val="2"/>
        <charset val="238"/>
        <scheme val="minor"/>
      </rPr>
      <t>3</t>
    </r>
  </si>
  <si>
    <r>
      <rPr>
        <sz val="11"/>
        <color rgb="FF010101"/>
        <rFont val="Calibri"/>
        <family val="2"/>
        <charset val="238"/>
        <scheme val="minor"/>
      </rPr>
      <t>B</t>
    </r>
    <r>
      <rPr>
        <sz val="11"/>
        <color rgb="FF444444"/>
        <rFont val="Calibri"/>
        <family val="2"/>
        <charset val="238"/>
        <scheme val="minor"/>
      </rPr>
      <t>.</t>
    </r>
    <r>
      <rPr>
        <sz val="11"/>
        <color rgb="FF010101"/>
        <rFont val="Calibri"/>
        <family val="2"/>
        <charset val="238"/>
        <scheme val="minor"/>
      </rPr>
      <t>335a</t>
    </r>
  </si>
  <si>
    <r>
      <rPr>
        <sz val="11"/>
        <color rgb="FF010101"/>
        <rFont val="Calibri"/>
        <family val="2"/>
        <charset val="238"/>
        <scheme val="minor"/>
      </rPr>
      <t>SESTERNA</t>
    </r>
  </si>
  <si>
    <r>
      <rPr>
        <sz val="11"/>
        <color rgb="FF010101"/>
        <rFont val="Calibri"/>
        <family val="2"/>
        <charset val="238"/>
        <scheme val="minor"/>
      </rPr>
      <t>P15</t>
    </r>
  </si>
  <si>
    <r>
      <rPr>
        <sz val="11"/>
        <color rgb="FF010101"/>
        <rFont val="Calibri"/>
        <family val="2"/>
        <charset val="238"/>
        <scheme val="minor"/>
      </rPr>
      <t>T3</t>
    </r>
  </si>
  <si>
    <r>
      <rPr>
        <sz val="11"/>
        <color rgb="FF010101"/>
        <rFont val="Calibri"/>
        <family val="2"/>
        <charset val="238"/>
        <scheme val="minor"/>
      </rPr>
      <t>B.335b</t>
    </r>
  </si>
  <si>
    <r>
      <rPr>
        <sz val="11"/>
        <color rgb="FF010101"/>
        <rFont val="Calibri"/>
        <family val="2"/>
        <charset val="238"/>
        <scheme val="minor"/>
      </rPr>
      <t>PRACOVNA LÉKAŘE</t>
    </r>
  </si>
  <si>
    <r>
      <rPr>
        <sz val="11"/>
        <color rgb="FF131313"/>
        <rFont val="Calibri"/>
        <family val="2"/>
        <charset val="238"/>
        <scheme val="minor"/>
      </rPr>
      <t>T3</t>
    </r>
  </si>
  <si>
    <r>
      <rPr>
        <sz val="11"/>
        <color rgb="FF010101"/>
        <rFont val="Calibri"/>
        <family val="2"/>
        <charset val="238"/>
        <scheme val="minor"/>
      </rPr>
      <t>C</t>
    </r>
    <r>
      <rPr>
        <sz val="11"/>
        <color rgb="FF545454"/>
        <rFont val="Calibri"/>
        <family val="2"/>
        <charset val="238"/>
        <scheme val="minor"/>
      </rPr>
      <t>.</t>
    </r>
    <r>
      <rPr>
        <sz val="11"/>
        <color rgb="FF010101"/>
        <rFont val="Calibri"/>
        <family val="2"/>
        <charset val="238"/>
        <scheme val="minor"/>
      </rPr>
      <t>337a</t>
    </r>
  </si>
  <si>
    <r>
      <rPr>
        <sz val="11"/>
        <color rgb="FF010101"/>
        <rFont val="Calibri"/>
        <family val="2"/>
        <charset val="238"/>
        <scheme val="minor"/>
      </rPr>
      <t>2400, 2670</t>
    </r>
  </si>
  <si>
    <r>
      <rPr>
        <sz val="11"/>
        <color rgb="FF010101"/>
        <rFont val="Calibri"/>
        <family val="2"/>
        <charset val="238"/>
        <scheme val="minor"/>
      </rPr>
      <t>C</t>
    </r>
    <r>
      <rPr>
        <sz val="11"/>
        <color rgb="FF545454"/>
        <rFont val="Calibri"/>
        <family val="2"/>
        <charset val="238"/>
        <scheme val="minor"/>
      </rPr>
      <t>.</t>
    </r>
    <r>
      <rPr>
        <sz val="11"/>
        <color rgb="FF010101"/>
        <rFont val="Calibri"/>
        <family val="2"/>
        <charset val="238"/>
        <scheme val="minor"/>
      </rPr>
      <t>337b</t>
    </r>
  </si>
  <si>
    <r>
      <rPr>
        <sz val="11"/>
        <color rgb="FF111111"/>
        <rFont val="Calibri"/>
        <family val="2"/>
        <charset val="238"/>
        <scheme val="minor"/>
      </rPr>
      <t>T3</t>
    </r>
  </si>
  <si>
    <r>
      <rPr>
        <sz val="11"/>
        <color rgb="FF010101"/>
        <rFont val="Calibri"/>
        <family val="2"/>
        <charset val="238"/>
        <scheme val="minor"/>
      </rPr>
      <t>A</t>
    </r>
    <r>
      <rPr>
        <sz val="11"/>
        <color rgb="FF424242"/>
        <rFont val="Calibri"/>
        <family val="2"/>
        <charset val="238"/>
        <scheme val="minor"/>
      </rPr>
      <t>.</t>
    </r>
    <r>
      <rPr>
        <sz val="11"/>
        <color rgb="FF010101"/>
        <rFont val="Calibri"/>
        <family val="2"/>
        <charset val="238"/>
        <scheme val="minor"/>
      </rPr>
      <t>214</t>
    </r>
  </si>
  <si>
    <r>
      <rPr>
        <sz val="11"/>
        <color rgb="FF010101"/>
        <rFont val="Calibri"/>
        <family val="2"/>
        <charset val="238"/>
        <scheme val="minor"/>
      </rPr>
      <t>ASISTOVANÁ LÁZEŇ S WC</t>
    </r>
  </si>
  <si>
    <r>
      <rPr>
        <sz val="11"/>
        <color rgb="FF010101"/>
        <rFont val="Calibri"/>
        <family val="2"/>
        <charset val="238"/>
        <scheme val="minor"/>
      </rPr>
      <t>P16</t>
    </r>
    <r>
      <rPr>
        <sz val="11"/>
        <rFont val="Calibri"/>
        <family val="2"/>
        <charset val="238"/>
        <scheme val="minor"/>
      </rPr>
      <t>a</t>
    </r>
  </si>
  <si>
    <r>
      <rPr>
        <sz val="11"/>
        <color rgb="FF010101"/>
        <rFont val="Calibri"/>
        <family val="2"/>
        <charset val="238"/>
        <scheme val="minor"/>
      </rPr>
      <t>T4</t>
    </r>
  </si>
  <si>
    <r>
      <rPr>
        <sz val="11"/>
        <color rgb="FF010101"/>
        <rFont val="Calibri"/>
        <family val="2"/>
        <charset val="238"/>
        <scheme val="minor"/>
      </rPr>
      <t>A</t>
    </r>
    <r>
      <rPr>
        <sz val="11"/>
        <color rgb="FF424242"/>
        <rFont val="Calibri"/>
        <family val="2"/>
        <charset val="238"/>
        <scheme val="minor"/>
      </rPr>
      <t>.</t>
    </r>
    <r>
      <rPr>
        <sz val="11"/>
        <color rgb="FF010101"/>
        <rFont val="Calibri"/>
        <family val="2"/>
        <charset val="238"/>
        <scheme val="minor"/>
      </rPr>
      <t>215a</t>
    </r>
  </si>
  <si>
    <r>
      <rPr>
        <sz val="11"/>
        <color rgb="FF010101"/>
        <rFont val="Calibri"/>
        <family val="2"/>
        <charset val="238"/>
        <scheme val="minor"/>
      </rPr>
      <t>PŘEDSÍŇ</t>
    </r>
  </si>
  <si>
    <r>
      <rPr>
        <sz val="11"/>
        <color rgb="FF010101"/>
        <rFont val="Calibri"/>
        <family val="2"/>
        <charset val="238"/>
        <scheme val="minor"/>
      </rPr>
      <t>A</t>
    </r>
    <r>
      <rPr>
        <sz val="11"/>
        <color rgb="FF5E5E5E"/>
        <rFont val="Calibri"/>
        <family val="2"/>
        <charset val="238"/>
        <scheme val="minor"/>
      </rPr>
      <t>.</t>
    </r>
    <r>
      <rPr>
        <sz val="11"/>
        <color rgb="FF010101"/>
        <rFont val="Calibri"/>
        <family val="2"/>
        <charset val="238"/>
        <scheme val="minor"/>
      </rPr>
      <t>215b</t>
    </r>
  </si>
  <si>
    <r>
      <rPr>
        <sz val="11"/>
        <color rgb="FF010101"/>
        <rFont val="Calibri"/>
        <family val="2"/>
        <charset val="238"/>
        <scheme val="minor"/>
      </rPr>
      <t>WC</t>
    </r>
  </si>
  <si>
    <r>
      <rPr>
        <sz val="11"/>
        <color rgb="FF010101"/>
        <rFont val="Calibri"/>
        <family val="2"/>
        <charset val="238"/>
        <scheme val="minor"/>
      </rPr>
      <t>B.213</t>
    </r>
  </si>
  <si>
    <r>
      <rPr>
        <sz val="11"/>
        <color rgb="FF010101"/>
        <rFont val="Calibri"/>
        <family val="2"/>
        <charset val="238"/>
        <scheme val="minor"/>
      </rPr>
      <t>B</t>
    </r>
    <r>
      <rPr>
        <sz val="11"/>
        <color rgb="FF424242"/>
        <rFont val="Calibri"/>
        <family val="2"/>
        <charset val="238"/>
        <scheme val="minor"/>
      </rPr>
      <t>.</t>
    </r>
    <r>
      <rPr>
        <sz val="11"/>
        <color rgb="FF010101"/>
        <rFont val="Calibri"/>
        <family val="2"/>
        <charset val="238"/>
        <scheme val="minor"/>
      </rPr>
      <t>214a</t>
    </r>
  </si>
  <si>
    <r>
      <rPr>
        <sz val="11"/>
        <color rgb="FF010101"/>
        <rFont val="Calibri"/>
        <family val="2"/>
        <charset val="238"/>
        <scheme val="minor"/>
      </rPr>
      <t>B.214b</t>
    </r>
  </si>
  <si>
    <r>
      <rPr>
        <sz val="11"/>
        <color rgb="FF030303"/>
        <rFont val="Calibri"/>
        <family val="2"/>
        <charset val="238"/>
        <scheme val="minor"/>
      </rPr>
      <t>C.214</t>
    </r>
  </si>
  <si>
    <r>
      <rPr>
        <sz val="11"/>
        <color rgb="FF030303"/>
        <rFont val="Calibri"/>
        <family val="2"/>
        <charset val="238"/>
        <scheme val="minor"/>
      </rPr>
      <t>ASISTOVANÁ LÁZEŇ S WC</t>
    </r>
  </si>
  <si>
    <r>
      <rPr>
        <sz val="11"/>
        <color rgb="FF030303"/>
        <rFont val="Calibri"/>
        <family val="2"/>
        <charset val="238"/>
        <scheme val="minor"/>
      </rPr>
      <t>P16</t>
    </r>
    <r>
      <rPr>
        <sz val="11"/>
        <rFont val="Calibri"/>
        <family val="2"/>
        <charset val="238"/>
        <scheme val="minor"/>
      </rPr>
      <t>a</t>
    </r>
  </si>
  <si>
    <r>
      <rPr>
        <sz val="11"/>
        <color rgb="FF030303"/>
        <rFont val="Calibri"/>
        <family val="2"/>
        <charset val="238"/>
        <scheme val="minor"/>
      </rPr>
      <t>T4</t>
    </r>
  </si>
  <si>
    <r>
      <rPr>
        <sz val="11"/>
        <color rgb="FF030303"/>
        <rFont val="Calibri"/>
        <family val="2"/>
        <charset val="238"/>
        <scheme val="minor"/>
      </rPr>
      <t>A</t>
    </r>
    <r>
      <rPr>
        <sz val="11"/>
        <color rgb="FF575757"/>
        <rFont val="Calibri"/>
        <family val="2"/>
        <charset val="238"/>
        <scheme val="minor"/>
      </rPr>
      <t>.</t>
    </r>
    <r>
      <rPr>
        <sz val="11"/>
        <color rgb="FF030303"/>
        <rFont val="Calibri"/>
        <family val="2"/>
        <charset val="238"/>
        <scheme val="minor"/>
      </rPr>
      <t>315</t>
    </r>
  </si>
  <si>
    <r>
      <rPr>
        <sz val="11"/>
        <color rgb="FF030303"/>
        <rFont val="Calibri"/>
        <family val="2"/>
        <charset val="238"/>
        <scheme val="minor"/>
      </rPr>
      <t>WC</t>
    </r>
  </si>
  <si>
    <r>
      <rPr>
        <sz val="11"/>
        <color rgb="FF030303"/>
        <rFont val="Calibri"/>
        <family val="2"/>
        <charset val="238"/>
        <scheme val="minor"/>
      </rPr>
      <t>A</t>
    </r>
    <r>
      <rPr>
        <sz val="11"/>
        <color rgb="FF575757"/>
        <rFont val="Calibri"/>
        <family val="2"/>
        <charset val="238"/>
        <scheme val="minor"/>
      </rPr>
      <t>.</t>
    </r>
    <r>
      <rPr>
        <sz val="11"/>
        <color rgb="FF030303"/>
        <rFont val="Calibri"/>
        <family val="2"/>
        <charset val="238"/>
        <scheme val="minor"/>
      </rPr>
      <t>316</t>
    </r>
  </si>
  <si>
    <r>
      <rPr>
        <sz val="11"/>
        <color rgb="FF030303"/>
        <rFont val="Calibri"/>
        <family val="2"/>
        <charset val="238"/>
        <scheme val="minor"/>
      </rPr>
      <t>ASISTOVANÁ LÁZEŇ</t>
    </r>
  </si>
  <si>
    <r>
      <rPr>
        <sz val="11"/>
        <color rgb="FF030303"/>
        <rFont val="Calibri"/>
        <family val="2"/>
        <charset val="238"/>
        <scheme val="minor"/>
      </rPr>
      <t>A.331c</t>
    </r>
  </si>
  <si>
    <r>
      <rPr>
        <sz val="11"/>
        <color rgb="FF030303"/>
        <rFont val="Calibri"/>
        <family val="2"/>
        <charset val="238"/>
        <scheme val="minor"/>
      </rPr>
      <t>SOCIÁLNÍ ZAŘÍZENÍ</t>
    </r>
  </si>
  <si>
    <r>
      <rPr>
        <sz val="11"/>
        <color rgb="FF010101"/>
        <rFont val="Calibri"/>
        <family val="2"/>
        <charset val="238"/>
        <scheme val="minor"/>
      </rPr>
      <t>B</t>
    </r>
    <r>
      <rPr>
        <sz val="11"/>
        <color rgb="FF444444"/>
        <rFont val="Calibri"/>
        <family val="2"/>
        <charset val="238"/>
        <scheme val="minor"/>
      </rPr>
      <t>.</t>
    </r>
    <r>
      <rPr>
        <sz val="11"/>
        <color rgb="FF010101"/>
        <rFont val="Calibri"/>
        <family val="2"/>
        <charset val="238"/>
        <scheme val="minor"/>
      </rPr>
      <t>314</t>
    </r>
  </si>
  <si>
    <r>
      <rPr>
        <sz val="11"/>
        <color rgb="FF010101"/>
        <rFont val="Calibri"/>
        <family val="2"/>
        <charset val="238"/>
        <scheme val="minor"/>
      </rPr>
      <t>B</t>
    </r>
    <r>
      <rPr>
        <sz val="11"/>
        <color rgb="FF444444"/>
        <rFont val="Calibri"/>
        <family val="2"/>
        <charset val="238"/>
        <scheme val="minor"/>
      </rPr>
      <t>.</t>
    </r>
    <r>
      <rPr>
        <sz val="11"/>
        <color rgb="FF010101"/>
        <rFont val="Calibri"/>
        <family val="2"/>
        <charset val="238"/>
        <scheme val="minor"/>
      </rPr>
      <t>315</t>
    </r>
  </si>
  <si>
    <r>
      <rPr>
        <sz val="11"/>
        <color rgb="FF010101"/>
        <rFont val="Calibri"/>
        <family val="2"/>
        <charset val="238"/>
        <scheme val="minor"/>
      </rPr>
      <t>ASISTOVANÁ LÁZEŇ</t>
    </r>
  </si>
  <si>
    <r>
      <rPr>
        <sz val="11"/>
        <color rgb="FF010101"/>
        <rFont val="Calibri"/>
        <family val="2"/>
        <charset val="238"/>
        <scheme val="minor"/>
      </rPr>
      <t>B</t>
    </r>
    <r>
      <rPr>
        <sz val="11"/>
        <color rgb="FF2B2B2B"/>
        <rFont val="Calibri"/>
        <family val="2"/>
        <charset val="238"/>
        <scheme val="minor"/>
      </rPr>
      <t>.</t>
    </r>
    <r>
      <rPr>
        <sz val="11"/>
        <color rgb="FF010101"/>
        <rFont val="Calibri"/>
        <family val="2"/>
        <charset val="238"/>
        <scheme val="minor"/>
      </rPr>
      <t>335c</t>
    </r>
  </si>
  <si>
    <r>
      <rPr>
        <sz val="11"/>
        <color rgb="FF010101"/>
        <rFont val="Calibri"/>
        <family val="2"/>
        <charset val="238"/>
        <scheme val="minor"/>
      </rPr>
      <t>SOCIÁLNÍ ZAŘÍZENÍ</t>
    </r>
  </si>
  <si>
    <r>
      <rPr>
        <sz val="11"/>
        <color rgb="FF010101"/>
        <rFont val="Calibri"/>
        <family val="2"/>
        <charset val="238"/>
        <scheme val="minor"/>
      </rPr>
      <t>C</t>
    </r>
    <r>
      <rPr>
        <sz val="11"/>
        <color rgb="FF424242"/>
        <rFont val="Calibri"/>
        <family val="2"/>
        <charset val="238"/>
        <scheme val="minor"/>
      </rPr>
      <t>.</t>
    </r>
    <r>
      <rPr>
        <sz val="11"/>
        <color rgb="FF010101"/>
        <rFont val="Calibri"/>
        <family val="2"/>
        <charset val="238"/>
        <scheme val="minor"/>
      </rPr>
      <t>337c</t>
    </r>
  </si>
  <si>
    <r>
      <rPr>
        <sz val="11"/>
        <color rgb="FF010101"/>
        <rFont val="Calibri"/>
        <family val="2"/>
        <charset val="238"/>
        <scheme val="minor"/>
      </rPr>
      <t>A.414</t>
    </r>
  </si>
  <si>
    <r>
      <rPr>
        <sz val="11"/>
        <color rgb="FF010101"/>
        <rFont val="Calibri"/>
        <family val="2"/>
        <charset val="238"/>
        <scheme val="minor"/>
      </rPr>
      <t>2400</t>
    </r>
    <r>
      <rPr>
        <sz val="11"/>
        <color rgb="FF2A2A2A"/>
        <rFont val="Calibri"/>
        <family val="2"/>
        <charset val="238"/>
        <scheme val="minor"/>
      </rPr>
      <t xml:space="preserve">, </t>
    </r>
    <r>
      <rPr>
        <sz val="11"/>
        <color rgb="FF010101"/>
        <rFont val="Calibri"/>
        <family val="2"/>
        <charset val="238"/>
        <scheme val="minor"/>
      </rPr>
      <t>2670</t>
    </r>
  </si>
  <si>
    <r>
      <rPr>
        <sz val="11"/>
        <color rgb="FF010101"/>
        <rFont val="Calibri"/>
        <family val="2"/>
        <charset val="238"/>
        <scheme val="minor"/>
      </rPr>
      <t>A.415a</t>
    </r>
  </si>
  <si>
    <r>
      <rPr>
        <sz val="11"/>
        <color rgb="FF111111"/>
        <rFont val="Calibri"/>
        <family val="2"/>
        <charset val="238"/>
        <scheme val="minor"/>
      </rPr>
      <t>A.415b</t>
    </r>
  </si>
  <si>
    <r>
      <rPr>
        <sz val="11"/>
        <color rgb="FF010101"/>
        <rFont val="Calibri"/>
        <family val="2"/>
        <charset val="238"/>
        <scheme val="minor"/>
      </rPr>
      <t>B.413</t>
    </r>
  </si>
  <si>
    <r>
      <rPr>
        <sz val="11"/>
        <color rgb="FF010101"/>
        <rFont val="Calibri"/>
        <family val="2"/>
        <charset val="238"/>
        <scheme val="minor"/>
      </rPr>
      <t>B.414a</t>
    </r>
  </si>
  <si>
    <r>
      <rPr>
        <sz val="11"/>
        <color rgb="FF010101"/>
        <rFont val="Calibri"/>
        <family val="2"/>
        <charset val="238"/>
        <scheme val="minor"/>
      </rPr>
      <t>B.414b</t>
    </r>
  </si>
  <si>
    <r>
      <rPr>
        <sz val="11"/>
        <color rgb="FF010101"/>
        <rFont val="Calibri"/>
        <family val="2"/>
        <charset val="238"/>
        <scheme val="minor"/>
      </rPr>
      <t>C.414</t>
    </r>
  </si>
  <si>
    <r>
      <rPr>
        <sz val="11"/>
        <color rgb="FF010101"/>
        <rFont val="Calibri"/>
        <family val="2"/>
        <charset val="238"/>
        <scheme val="minor"/>
      </rPr>
      <t>C.415a</t>
    </r>
  </si>
  <si>
    <r>
      <rPr>
        <sz val="11"/>
        <color rgb="FF010101"/>
        <rFont val="Calibri"/>
        <family val="2"/>
        <charset val="238"/>
        <scheme val="minor"/>
      </rPr>
      <t>C.415b</t>
    </r>
  </si>
  <si>
    <r>
      <rPr>
        <sz val="11"/>
        <color rgb="FF010101"/>
        <rFont val="Calibri"/>
        <family val="2"/>
        <charset val="238"/>
        <scheme val="minor"/>
      </rPr>
      <t>A</t>
    </r>
    <r>
      <rPr>
        <sz val="11"/>
        <color rgb="FF282828"/>
        <rFont val="Calibri"/>
        <family val="2"/>
        <charset val="238"/>
        <scheme val="minor"/>
      </rPr>
      <t>.</t>
    </r>
    <r>
      <rPr>
        <sz val="11"/>
        <color rgb="FF010101"/>
        <rFont val="Calibri"/>
        <family val="2"/>
        <charset val="238"/>
        <scheme val="minor"/>
      </rPr>
      <t>208a</t>
    </r>
  </si>
  <si>
    <r>
      <rPr>
        <sz val="11"/>
        <color rgb="FF010101"/>
        <rFont val="Calibri"/>
        <family val="2"/>
        <charset val="238"/>
        <scheme val="minor"/>
      </rPr>
      <t>ÚKLID</t>
    </r>
  </si>
  <si>
    <r>
      <rPr>
        <sz val="11"/>
        <color rgb="FF010101"/>
        <rFont val="Calibri"/>
        <family val="2"/>
        <charset val="238"/>
        <scheme val="minor"/>
      </rPr>
      <t>A.208b</t>
    </r>
  </si>
  <si>
    <r>
      <rPr>
        <sz val="11"/>
        <color rgb="FF010101"/>
        <rFont val="Calibri"/>
        <family val="2"/>
        <charset val="238"/>
        <scheme val="minor"/>
      </rPr>
      <t>SAMOSTATNÁ ČISTÍCÍ MÍSTNOST</t>
    </r>
  </si>
  <si>
    <r>
      <rPr>
        <sz val="11"/>
        <color rgb="FF010101"/>
        <rFont val="Calibri"/>
        <family val="2"/>
        <charset val="238"/>
        <scheme val="minor"/>
      </rPr>
      <t>A.208c</t>
    </r>
  </si>
  <si>
    <r>
      <rPr>
        <sz val="11"/>
        <color rgb="FF010101"/>
        <rFont val="Calibri"/>
        <family val="2"/>
        <charset val="238"/>
        <scheme val="minor"/>
      </rPr>
      <t>ODPADY A ŠPINAVÉ PRÁDLO</t>
    </r>
  </si>
  <si>
    <r>
      <rPr>
        <sz val="11"/>
        <color rgb="FF010101"/>
        <rFont val="Calibri"/>
        <family val="2"/>
        <charset val="238"/>
        <scheme val="minor"/>
      </rPr>
      <t>B</t>
    </r>
    <r>
      <rPr>
        <sz val="11"/>
        <color rgb="FF2A2A2A"/>
        <rFont val="Calibri"/>
        <family val="2"/>
        <charset val="238"/>
        <scheme val="minor"/>
      </rPr>
      <t>.</t>
    </r>
    <r>
      <rPr>
        <sz val="11"/>
        <color rgb="FF010101"/>
        <rFont val="Calibri"/>
        <family val="2"/>
        <charset val="238"/>
        <scheme val="minor"/>
      </rPr>
      <t>208a</t>
    </r>
  </si>
  <si>
    <r>
      <rPr>
        <sz val="11"/>
        <color rgb="FF010101"/>
        <rFont val="Calibri"/>
        <family val="2"/>
        <charset val="238"/>
        <scheme val="minor"/>
      </rPr>
      <t>B.208b</t>
    </r>
  </si>
  <si>
    <r>
      <rPr>
        <sz val="11"/>
        <color rgb="FF010101"/>
        <rFont val="Calibri"/>
        <family val="2"/>
        <charset val="238"/>
        <scheme val="minor"/>
      </rPr>
      <t>B</t>
    </r>
    <r>
      <rPr>
        <sz val="11"/>
        <color rgb="FF2A2A2A"/>
        <rFont val="Calibri"/>
        <family val="2"/>
        <charset val="238"/>
        <scheme val="minor"/>
      </rPr>
      <t>.</t>
    </r>
    <r>
      <rPr>
        <sz val="11"/>
        <color rgb="FF010101"/>
        <rFont val="Calibri"/>
        <family val="2"/>
        <charset val="238"/>
        <scheme val="minor"/>
      </rPr>
      <t>208c</t>
    </r>
  </si>
  <si>
    <r>
      <rPr>
        <sz val="11"/>
        <color rgb="FF030303"/>
        <rFont val="Calibri"/>
        <family val="2"/>
        <charset val="238"/>
        <scheme val="minor"/>
      </rPr>
      <t>C</t>
    </r>
    <r>
      <rPr>
        <sz val="11"/>
        <color rgb="FF565656"/>
        <rFont val="Calibri"/>
        <family val="2"/>
        <charset val="238"/>
        <scheme val="minor"/>
      </rPr>
      <t>.</t>
    </r>
    <r>
      <rPr>
        <sz val="11"/>
        <color rgb="FF030303"/>
        <rFont val="Calibri"/>
        <family val="2"/>
        <charset val="238"/>
        <scheme val="minor"/>
      </rPr>
      <t>208a</t>
    </r>
  </si>
  <si>
    <r>
      <rPr>
        <sz val="11"/>
        <color rgb="FF030303"/>
        <rFont val="Calibri"/>
        <family val="2"/>
        <charset val="238"/>
        <scheme val="minor"/>
      </rPr>
      <t>ÚKLID</t>
    </r>
  </si>
  <si>
    <r>
      <rPr>
        <sz val="11"/>
        <color rgb="FF030303"/>
        <rFont val="Calibri"/>
        <family val="2"/>
        <charset val="238"/>
        <scheme val="minor"/>
      </rPr>
      <t>P16</t>
    </r>
    <r>
      <rPr>
        <sz val="11"/>
        <rFont val="Calibri"/>
        <family val="2"/>
        <charset val="238"/>
        <scheme val="minor"/>
      </rPr>
      <t>b</t>
    </r>
  </si>
  <si>
    <r>
      <rPr>
        <sz val="11"/>
        <color rgb="FF030303"/>
        <rFont val="Calibri"/>
        <family val="2"/>
        <charset val="238"/>
        <scheme val="minor"/>
      </rPr>
      <t>C</t>
    </r>
    <r>
      <rPr>
        <sz val="11"/>
        <color rgb="FF565656"/>
        <rFont val="Calibri"/>
        <family val="2"/>
        <charset val="238"/>
        <scheme val="minor"/>
      </rPr>
      <t>.</t>
    </r>
    <r>
      <rPr>
        <sz val="11"/>
        <color rgb="FF030303"/>
        <rFont val="Calibri"/>
        <family val="2"/>
        <charset val="238"/>
        <scheme val="minor"/>
      </rPr>
      <t>208b</t>
    </r>
  </si>
  <si>
    <r>
      <rPr>
        <sz val="11"/>
        <color rgb="FF030303"/>
        <rFont val="Calibri"/>
        <family val="2"/>
        <charset val="238"/>
        <scheme val="minor"/>
      </rPr>
      <t>SAMOSTATNÁ ČISTÍCÍ MÍSTNOST</t>
    </r>
  </si>
  <si>
    <r>
      <rPr>
        <sz val="11"/>
        <color rgb="FF030303"/>
        <rFont val="Calibri"/>
        <family val="2"/>
        <charset val="238"/>
        <scheme val="minor"/>
      </rPr>
      <t>A</t>
    </r>
    <r>
      <rPr>
        <sz val="11"/>
        <color rgb="FF575757"/>
        <rFont val="Calibri"/>
        <family val="2"/>
        <charset val="238"/>
        <scheme val="minor"/>
      </rPr>
      <t>.</t>
    </r>
    <r>
      <rPr>
        <sz val="11"/>
        <color rgb="FF030303"/>
        <rFont val="Calibri"/>
        <family val="2"/>
        <charset val="238"/>
        <scheme val="minor"/>
      </rPr>
      <t>308a</t>
    </r>
  </si>
  <si>
    <r>
      <rPr>
        <sz val="11"/>
        <color rgb="FF030303"/>
        <rFont val="Calibri"/>
        <family val="2"/>
        <charset val="238"/>
        <scheme val="minor"/>
      </rPr>
      <t>A</t>
    </r>
    <r>
      <rPr>
        <sz val="11"/>
        <color rgb="FF1C1C1C"/>
        <rFont val="Calibri"/>
        <family val="2"/>
        <charset val="238"/>
        <scheme val="minor"/>
      </rPr>
      <t>.</t>
    </r>
    <r>
      <rPr>
        <sz val="11"/>
        <color rgb="FF030303"/>
        <rFont val="Calibri"/>
        <family val="2"/>
        <charset val="238"/>
        <scheme val="minor"/>
      </rPr>
      <t>308b</t>
    </r>
  </si>
  <si>
    <r>
      <rPr>
        <sz val="11"/>
        <color rgb="FF030303"/>
        <rFont val="Calibri"/>
        <family val="2"/>
        <charset val="238"/>
        <scheme val="minor"/>
      </rPr>
      <t>A</t>
    </r>
    <r>
      <rPr>
        <sz val="11"/>
        <color rgb="FF575757"/>
        <rFont val="Calibri"/>
        <family val="2"/>
        <charset val="238"/>
        <scheme val="minor"/>
      </rPr>
      <t>.</t>
    </r>
    <r>
      <rPr>
        <sz val="11"/>
        <color rgb="FF030303"/>
        <rFont val="Calibri"/>
        <family val="2"/>
        <charset val="238"/>
        <scheme val="minor"/>
      </rPr>
      <t>308c</t>
    </r>
  </si>
  <si>
    <r>
      <rPr>
        <sz val="11"/>
        <color rgb="FF030303"/>
        <rFont val="Calibri"/>
        <family val="2"/>
        <charset val="238"/>
        <scheme val="minor"/>
      </rPr>
      <t>ODPADY A ŠPINAVÉ PRÁDLO</t>
    </r>
  </si>
  <si>
    <r>
      <rPr>
        <sz val="11"/>
        <color rgb="FF010101"/>
        <rFont val="Calibri"/>
        <family val="2"/>
        <charset val="238"/>
        <scheme val="minor"/>
      </rPr>
      <t>B.308a</t>
    </r>
  </si>
  <si>
    <r>
      <rPr>
        <sz val="11"/>
        <color rgb="FF010101"/>
        <rFont val="Calibri"/>
        <family val="2"/>
        <charset val="238"/>
        <scheme val="minor"/>
      </rPr>
      <t>B</t>
    </r>
    <r>
      <rPr>
        <sz val="11"/>
        <color rgb="FF2B2B2B"/>
        <rFont val="Calibri"/>
        <family val="2"/>
        <charset val="238"/>
        <scheme val="minor"/>
      </rPr>
      <t>.</t>
    </r>
    <r>
      <rPr>
        <sz val="11"/>
        <color rgb="FF010101"/>
        <rFont val="Calibri"/>
        <family val="2"/>
        <charset val="238"/>
        <scheme val="minor"/>
      </rPr>
      <t>308b</t>
    </r>
  </si>
  <si>
    <r>
      <rPr>
        <sz val="11"/>
        <color rgb="FF010101"/>
        <rFont val="Calibri"/>
        <family val="2"/>
        <charset val="238"/>
        <scheme val="minor"/>
      </rPr>
      <t>B.308c</t>
    </r>
  </si>
  <si>
    <r>
      <rPr>
        <sz val="11"/>
        <color rgb="FF010101"/>
        <rFont val="Calibri"/>
        <family val="2"/>
        <charset val="238"/>
        <scheme val="minor"/>
      </rPr>
      <t>C</t>
    </r>
    <r>
      <rPr>
        <sz val="11"/>
        <color rgb="FF545454"/>
        <rFont val="Calibri"/>
        <family val="2"/>
        <charset val="238"/>
        <scheme val="minor"/>
      </rPr>
      <t>.</t>
    </r>
    <r>
      <rPr>
        <sz val="11"/>
        <color rgb="FF010101"/>
        <rFont val="Calibri"/>
        <family val="2"/>
        <charset val="238"/>
        <scheme val="minor"/>
      </rPr>
      <t>308a</t>
    </r>
  </si>
  <si>
    <r>
      <rPr>
        <sz val="11"/>
        <color rgb="FF010101"/>
        <rFont val="Calibri"/>
        <family val="2"/>
        <charset val="238"/>
        <scheme val="minor"/>
      </rPr>
      <t>C</t>
    </r>
    <r>
      <rPr>
        <sz val="11"/>
        <color rgb="FF545454"/>
        <rFont val="Calibri"/>
        <family val="2"/>
        <charset val="238"/>
        <scheme val="minor"/>
      </rPr>
      <t>.</t>
    </r>
    <r>
      <rPr>
        <sz val="11"/>
        <color rgb="FF010101"/>
        <rFont val="Calibri"/>
        <family val="2"/>
        <charset val="238"/>
        <scheme val="minor"/>
      </rPr>
      <t>308b</t>
    </r>
  </si>
  <si>
    <r>
      <rPr>
        <sz val="11"/>
        <color rgb="FF010101"/>
        <rFont val="Calibri"/>
        <family val="2"/>
        <charset val="238"/>
        <scheme val="minor"/>
      </rPr>
      <t>C</t>
    </r>
    <r>
      <rPr>
        <sz val="11"/>
        <color rgb="FF545454"/>
        <rFont val="Calibri"/>
        <family val="2"/>
        <charset val="238"/>
        <scheme val="minor"/>
      </rPr>
      <t>.</t>
    </r>
    <r>
      <rPr>
        <sz val="11"/>
        <color rgb="FF010101"/>
        <rFont val="Calibri"/>
        <family val="2"/>
        <charset val="238"/>
        <scheme val="minor"/>
      </rPr>
      <t>308c</t>
    </r>
  </si>
  <si>
    <r>
      <rPr>
        <sz val="11"/>
        <color rgb="FF010101"/>
        <rFont val="Calibri"/>
        <family val="2"/>
        <charset val="238"/>
        <scheme val="minor"/>
      </rPr>
      <t>A.408a</t>
    </r>
  </si>
  <si>
    <r>
      <rPr>
        <sz val="11"/>
        <color rgb="FF010101"/>
        <rFont val="Calibri"/>
        <family val="2"/>
        <charset val="238"/>
        <scheme val="minor"/>
      </rPr>
      <t>A.408b</t>
    </r>
  </si>
  <si>
    <r>
      <rPr>
        <sz val="11"/>
        <color rgb="FF010101"/>
        <rFont val="Calibri"/>
        <family val="2"/>
        <charset val="238"/>
        <scheme val="minor"/>
      </rPr>
      <t>A.408c</t>
    </r>
  </si>
  <si>
    <r>
      <rPr>
        <sz val="11"/>
        <color rgb="FF010101"/>
        <rFont val="Calibri"/>
        <family val="2"/>
        <charset val="238"/>
        <scheme val="minor"/>
      </rPr>
      <t>B.408a</t>
    </r>
  </si>
  <si>
    <r>
      <rPr>
        <sz val="11"/>
        <color rgb="FF010101"/>
        <rFont val="Calibri"/>
        <family val="2"/>
        <charset val="238"/>
        <scheme val="minor"/>
      </rPr>
      <t>B.408b</t>
    </r>
  </si>
  <si>
    <r>
      <rPr>
        <sz val="11"/>
        <color rgb="FF010101"/>
        <rFont val="Calibri"/>
        <family val="2"/>
        <charset val="238"/>
        <scheme val="minor"/>
      </rPr>
      <t>B.408c</t>
    </r>
  </si>
  <si>
    <r>
      <rPr>
        <sz val="11"/>
        <color rgb="FF010101"/>
        <rFont val="Calibri"/>
        <family val="2"/>
        <charset val="238"/>
        <scheme val="minor"/>
      </rPr>
      <t>C.408a</t>
    </r>
  </si>
  <si>
    <r>
      <rPr>
        <sz val="11"/>
        <color rgb="FF010101"/>
        <rFont val="Calibri"/>
        <family val="2"/>
        <charset val="238"/>
        <scheme val="minor"/>
      </rPr>
      <t>C.408b</t>
    </r>
  </si>
  <si>
    <r>
      <rPr>
        <sz val="11"/>
        <color rgb="FF010101"/>
        <rFont val="Calibri"/>
        <family val="2"/>
        <charset val="238"/>
        <scheme val="minor"/>
      </rPr>
      <t>T</t>
    </r>
    <r>
      <rPr>
        <sz val="11"/>
        <color rgb="FF282828"/>
        <rFont val="Calibri"/>
        <family val="2"/>
        <charset val="238"/>
        <scheme val="minor"/>
      </rPr>
      <t>3</t>
    </r>
  </si>
  <si>
    <r>
      <rPr>
        <sz val="11"/>
        <color rgb="FF010101"/>
        <rFont val="Calibri"/>
        <family val="2"/>
        <charset val="238"/>
        <scheme val="minor"/>
      </rPr>
      <t>C.408c</t>
    </r>
  </si>
  <si>
    <r>
      <rPr>
        <sz val="11"/>
        <color rgb="FF010101"/>
        <rFont val="Calibri"/>
        <family val="2"/>
        <charset val="238"/>
        <scheme val="minor"/>
      </rPr>
      <t>A</t>
    </r>
    <r>
      <rPr>
        <sz val="11"/>
        <color rgb="FF282828"/>
        <rFont val="Calibri"/>
        <family val="2"/>
        <charset val="238"/>
        <scheme val="minor"/>
      </rPr>
      <t>.</t>
    </r>
    <r>
      <rPr>
        <sz val="11"/>
        <color rgb="FF010101"/>
        <rFont val="Calibri"/>
        <family val="2"/>
        <charset val="238"/>
        <scheme val="minor"/>
      </rPr>
      <t>204</t>
    </r>
  </si>
  <si>
    <r>
      <rPr>
        <sz val="11"/>
        <color rgb="FF010101"/>
        <rFont val="Calibri"/>
        <family val="2"/>
        <charset val="238"/>
        <scheme val="minor"/>
      </rPr>
      <t>T7</t>
    </r>
  </si>
  <si>
    <r>
      <rPr>
        <sz val="11"/>
        <color rgb="FF010101"/>
        <rFont val="Calibri"/>
        <family val="2"/>
        <charset val="238"/>
        <scheme val="minor"/>
      </rPr>
      <t>A.205</t>
    </r>
  </si>
  <si>
    <r>
      <rPr>
        <sz val="11"/>
        <color rgb="FF010101"/>
        <rFont val="Calibri"/>
        <family val="2"/>
        <charset val="238"/>
        <scheme val="minor"/>
      </rPr>
      <t>A</t>
    </r>
    <r>
      <rPr>
        <sz val="11"/>
        <color rgb="FF282828"/>
        <rFont val="Calibri"/>
        <family val="2"/>
        <charset val="238"/>
        <scheme val="minor"/>
      </rPr>
      <t>.</t>
    </r>
    <r>
      <rPr>
        <sz val="11"/>
        <color rgb="FF010101"/>
        <rFont val="Calibri"/>
        <family val="2"/>
        <charset val="238"/>
        <scheme val="minor"/>
      </rPr>
      <t>206</t>
    </r>
  </si>
  <si>
    <r>
      <rPr>
        <sz val="11"/>
        <color rgb="FF010101"/>
        <rFont val="Calibri"/>
        <family val="2"/>
        <charset val="238"/>
        <scheme val="minor"/>
      </rPr>
      <t>A.207</t>
    </r>
  </si>
  <si>
    <r>
      <rPr>
        <sz val="11"/>
        <color rgb="FF010101"/>
        <rFont val="Calibri"/>
        <family val="2"/>
        <charset val="238"/>
        <scheme val="minor"/>
      </rPr>
      <t>A.209</t>
    </r>
  </si>
  <si>
    <r>
      <rPr>
        <sz val="11"/>
        <color rgb="FF010101"/>
        <rFont val="Calibri"/>
        <family val="2"/>
        <charset val="238"/>
        <scheme val="minor"/>
      </rPr>
      <t>UZAVŘENÉ PRACOVIŠTĚ SESTER</t>
    </r>
  </si>
  <si>
    <r>
      <rPr>
        <sz val="11"/>
        <color rgb="FF010101"/>
        <rFont val="Calibri"/>
        <family val="2"/>
        <charset val="238"/>
        <scheme val="minor"/>
      </rPr>
      <t>A</t>
    </r>
    <r>
      <rPr>
        <sz val="11"/>
        <color rgb="FF424242"/>
        <rFont val="Calibri"/>
        <family val="2"/>
        <charset val="238"/>
        <scheme val="minor"/>
      </rPr>
      <t>.</t>
    </r>
    <r>
      <rPr>
        <sz val="11"/>
        <color rgb="FF010101"/>
        <rFont val="Calibri"/>
        <family val="2"/>
        <charset val="238"/>
        <scheme val="minor"/>
      </rPr>
      <t>210a</t>
    </r>
  </si>
  <si>
    <r>
      <rPr>
        <sz val="11"/>
        <color rgb="FF010101"/>
        <rFont val="Calibri"/>
        <family val="2"/>
        <charset val="238"/>
        <scheme val="minor"/>
      </rPr>
      <t>PRACOVIŠTĚ SESTER</t>
    </r>
  </si>
  <si>
    <r>
      <rPr>
        <sz val="11"/>
        <color rgb="FF010101"/>
        <rFont val="Calibri"/>
        <family val="2"/>
        <charset val="238"/>
        <scheme val="minor"/>
      </rPr>
      <t>A</t>
    </r>
    <r>
      <rPr>
        <sz val="11"/>
        <color rgb="FF282828"/>
        <rFont val="Calibri"/>
        <family val="2"/>
        <charset val="238"/>
        <scheme val="minor"/>
      </rPr>
      <t>.</t>
    </r>
    <r>
      <rPr>
        <sz val="11"/>
        <color rgb="FF010101"/>
        <rFont val="Calibri"/>
        <family val="2"/>
        <charset val="238"/>
        <scheme val="minor"/>
      </rPr>
      <t>210b</t>
    </r>
  </si>
  <si>
    <r>
      <rPr>
        <sz val="11"/>
        <color rgb="FF010101"/>
        <rFont val="Calibri"/>
        <family val="2"/>
        <charset val="238"/>
        <scheme val="minor"/>
      </rPr>
      <t>PŘÍPRAVNA JÍDLA</t>
    </r>
  </si>
  <si>
    <r>
      <rPr>
        <sz val="11"/>
        <color rgb="FF010101"/>
        <rFont val="Calibri"/>
        <family val="2"/>
        <charset val="238"/>
        <scheme val="minor"/>
      </rPr>
      <t>A</t>
    </r>
    <r>
      <rPr>
        <sz val="11"/>
        <color rgb="FF424242"/>
        <rFont val="Calibri"/>
        <family val="2"/>
        <charset val="238"/>
        <scheme val="minor"/>
      </rPr>
      <t>.</t>
    </r>
    <r>
      <rPr>
        <sz val="11"/>
        <color rgb="FF010101"/>
        <rFont val="Calibri"/>
        <family val="2"/>
        <charset val="238"/>
        <scheme val="minor"/>
      </rPr>
      <t>211</t>
    </r>
  </si>
  <si>
    <r>
      <rPr>
        <sz val="11"/>
        <color rgb="FF010101"/>
        <rFont val="Calibri"/>
        <family val="2"/>
        <charset val="238"/>
        <scheme val="minor"/>
      </rPr>
      <t>DENNÍ MÍSTNOST PACIENTŮ</t>
    </r>
  </si>
  <si>
    <r>
      <rPr>
        <sz val="11"/>
        <color rgb="FF010101"/>
        <rFont val="Calibri"/>
        <family val="2"/>
        <charset val="238"/>
        <scheme val="minor"/>
      </rPr>
      <t>A</t>
    </r>
    <r>
      <rPr>
        <sz val="11"/>
        <color rgb="FF424242"/>
        <rFont val="Calibri"/>
        <family val="2"/>
        <charset val="238"/>
        <scheme val="minor"/>
      </rPr>
      <t>.</t>
    </r>
    <r>
      <rPr>
        <sz val="11"/>
        <color rgb="FF010101"/>
        <rFont val="Calibri"/>
        <family val="2"/>
        <charset val="238"/>
        <scheme val="minor"/>
      </rPr>
      <t>216</t>
    </r>
  </si>
  <si>
    <r>
      <rPr>
        <sz val="11"/>
        <color rgb="FF010101"/>
        <rFont val="Calibri"/>
        <family val="2"/>
        <charset val="238"/>
        <scheme val="minor"/>
      </rPr>
      <t>DENNÍ MÍSTNOST</t>
    </r>
  </si>
  <si>
    <r>
      <rPr>
        <sz val="11"/>
        <color rgb="FF010101"/>
        <rFont val="Calibri"/>
        <family val="2"/>
        <charset val="238"/>
        <scheme val="minor"/>
      </rPr>
      <t>B</t>
    </r>
    <r>
      <rPr>
        <sz val="11"/>
        <color rgb="FF424242"/>
        <rFont val="Calibri"/>
        <family val="2"/>
        <charset val="238"/>
        <scheme val="minor"/>
      </rPr>
      <t>.</t>
    </r>
    <r>
      <rPr>
        <sz val="11"/>
        <color rgb="FF010101"/>
        <rFont val="Calibri"/>
        <family val="2"/>
        <charset val="238"/>
        <scheme val="minor"/>
      </rPr>
      <t>204</t>
    </r>
  </si>
  <si>
    <r>
      <rPr>
        <sz val="11"/>
        <color rgb="FF010101"/>
        <rFont val="Calibri"/>
        <family val="2"/>
        <charset val="238"/>
        <scheme val="minor"/>
      </rPr>
      <t>B</t>
    </r>
    <r>
      <rPr>
        <sz val="11"/>
        <color rgb="FF525252"/>
        <rFont val="Calibri"/>
        <family val="2"/>
        <charset val="238"/>
        <scheme val="minor"/>
      </rPr>
      <t>.</t>
    </r>
    <r>
      <rPr>
        <sz val="11"/>
        <color rgb="FF010101"/>
        <rFont val="Calibri"/>
        <family val="2"/>
        <charset val="238"/>
        <scheme val="minor"/>
      </rPr>
      <t>205</t>
    </r>
  </si>
  <si>
    <r>
      <rPr>
        <sz val="11"/>
        <color rgb="FF010101"/>
        <rFont val="Calibri"/>
        <family val="2"/>
        <charset val="238"/>
        <scheme val="minor"/>
      </rPr>
      <t>B</t>
    </r>
    <r>
      <rPr>
        <sz val="11"/>
        <color rgb="FF2A2A2A"/>
        <rFont val="Calibri"/>
        <family val="2"/>
        <charset val="238"/>
        <scheme val="minor"/>
      </rPr>
      <t>.</t>
    </r>
    <r>
      <rPr>
        <sz val="11"/>
        <color rgb="FF010101"/>
        <rFont val="Calibri"/>
        <family val="2"/>
        <charset val="238"/>
        <scheme val="minor"/>
      </rPr>
      <t>206</t>
    </r>
  </si>
  <si>
    <r>
      <rPr>
        <sz val="11"/>
        <color rgb="FF010101"/>
        <rFont val="Calibri"/>
        <family val="2"/>
        <charset val="238"/>
        <scheme val="minor"/>
      </rPr>
      <t>B</t>
    </r>
    <r>
      <rPr>
        <sz val="11"/>
        <color rgb="FF525252"/>
        <rFont val="Calibri"/>
        <family val="2"/>
        <charset val="238"/>
        <scheme val="minor"/>
      </rPr>
      <t>.</t>
    </r>
    <r>
      <rPr>
        <sz val="11"/>
        <color rgb="FF010101"/>
        <rFont val="Calibri"/>
        <family val="2"/>
        <charset val="238"/>
        <scheme val="minor"/>
      </rPr>
      <t>207</t>
    </r>
  </si>
  <si>
    <r>
      <rPr>
        <sz val="11"/>
        <color rgb="FF010101"/>
        <rFont val="Calibri"/>
        <family val="2"/>
        <charset val="238"/>
        <scheme val="minor"/>
      </rPr>
      <t>B</t>
    </r>
    <r>
      <rPr>
        <sz val="11"/>
        <color rgb="FF424242"/>
        <rFont val="Calibri"/>
        <family val="2"/>
        <charset val="238"/>
        <scheme val="minor"/>
      </rPr>
      <t>.</t>
    </r>
    <r>
      <rPr>
        <sz val="11"/>
        <color rgb="FF010101"/>
        <rFont val="Calibri"/>
        <family val="2"/>
        <charset val="238"/>
        <scheme val="minor"/>
      </rPr>
      <t>209</t>
    </r>
  </si>
  <si>
    <r>
      <rPr>
        <sz val="11"/>
        <color rgb="FF010101"/>
        <rFont val="Calibri"/>
        <family val="2"/>
        <charset val="238"/>
        <scheme val="minor"/>
      </rPr>
      <t>UZAVŘENÉ PRACOVIŠTĚ  SESTER</t>
    </r>
  </si>
  <si>
    <r>
      <rPr>
        <sz val="11"/>
        <color rgb="FF010101"/>
        <rFont val="Calibri"/>
        <family val="2"/>
        <charset val="238"/>
        <scheme val="minor"/>
      </rPr>
      <t>B.210a</t>
    </r>
  </si>
  <si>
    <r>
      <rPr>
        <sz val="11"/>
        <color rgb="FF010101"/>
        <rFont val="Calibri"/>
        <family val="2"/>
        <charset val="238"/>
        <scheme val="minor"/>
      </rPr>
      <t>B.210b</t>
    </r>
  </si>
  <si>
    <r>
      <rPr>
        <sz val="11"/>
        <color rgb="FF010101"/>
        <rFont val="Calibri"/>
        <family val="2"/>
        <charset val="238"/>
        <scheme val="minor"/>
      </rPr>
      <t>B.211</t>
    </r>
  </si>
  <si>
    <r>
      <rPr>
        <sz val="11"/>
        <color rgb="FF010101"/>
        <rFont val="Calibri"/>
        <family val="2"/>
        <charset val="238"/>
        <scheme val="minor"/>
      </rPr>
      <t>B.215</t>
    </r>
  </si>
  <si>
    <r>
      <rPr>
        <sz val="11"/>
        <color rgb="FF030303"/>
        <rFont val="Calibri"/>
        <family val="2"/>
        <charset val="238"/>
        <scheme val="minor"/>
      </rPr>
      <t>C.204</t>
    </r>
  </si>
  <si>
    <r>
      <rPr>
        <sz val="11"/>
        <color rgb="FF030303"/>
        <rFont val="Calibri"/>
        <family val="2"/>
        <charset val="238"/>
        <scheme val="minor"/>
      </rPr>
      <t>CHODBA</t>
    </r>
  </si>
  <si>
    <r>
      <rPr>
        <sz val="11"/>
        <color rgb="FF030303"/>
        <rFont val="Calibri"/>
        <family val="2"/>
        <charset val="238"/>
        <scheme val="minor"/>
      </rPr>
      <t>P17</t>
    </r>
  </si>
  <si>
    <r>
      <rPr>
        <sz val="11"/>
        <color rgb="FF030303"/>
        <rFont val="Calibri"/>
        <family val="2"/>
        <charset val="238"/>
        <scheme val="minor"/>
      </rPr>
      <t>T7</t>
    </r>
  </si>
  <si>
    <r>
      <rPr>
        <sz val="11"/>
        <color rgb="FF030303"/>
        <rFont val="Calibri"/>
        <family val="2"/>
        <charset val="238"/>
        <scheme val="minor"/>
      </rPr>
      <t>A</t>
    </r>
    <r>
      <rPr>
        <sz val="11"/>
        <color rgb="FF2B2B2B"/>
        <rFont val="Calibri"/>
        <family val="2"/>
        <charset val="238"/>
        <scheme val="minor"/>
      </rPr>
      <t>.</t>
    </r>
    <r>
      <rPr>
        <sz val="11"/>
        <color rgb="FF030303"/>
        <rFont val="Calibri"/>
        <family val="2"/>
        <charset val="238"/>
        <scheme val="minor"/>
      </rPr>
      <t>304</t>
    </r>
  </si>
  <si>
    <r>
      <rPr>
        <sz val="11"/>
        <color rgb="FF030303"/>
        <rFont val="Calibri"/>
        <family val="2"/>
        <charset val="238"/>
        <scheme val="minor"/>
      </rPr>
      <t>A.305</t>
    </r>
  </si>
  <si>
    <r>
      <rPr>
        <sz val="11"/>
        <color rgb="FF030303"/>
        <rFont val="Calibri"/>
        <family val="2"/>
        <charset val="238"/>
        <scheme val="minor"/>
      </rPr>
      <t>A.306</t>
    </r>
  </si>
  <si>
    <r>
      <rPr>
        <sz val="11"/>
        <color rgb="FF030303"/>
        <rFont val="Calibri"/>
        <family val="2"/>
        <charset val="238"/>
        <scheme val="minor"/>
      </rPr>
      <t>A.307</t>
    </r>
  </si>
  <si>
    <r>
      <rPr>
        <sz val="11"/>
        <color rgb="FF030303"/>
        <rFont val="Calibri"/>
        <family val="2"/>
        <charset val="238"/>
        <scheme val="minor"/>
      </rPr>
      <t>A</t>
    </r>
    <r>
      <rPr>
        <sz val="11"/>
        <color rgb="FF2B2B2B"/>
        <rFont val="Calibri"/>
        <family val="2"/>
        <charset val="238"/>
        <scheme val="minor"/>
      </rPr>
      <t>.</t>
    </r>
    <r>
      <rPr>
        <sz val="11"/>
        <color rgb="FF030303"/>
        <rFont val="Calibri"/>
        <family val="2"/>
        <charset val="238"/>
        <scheme val="minor"/>
      </rPr>
      <t>309</t>
    </r>
  </si>
  <si>
    <r>
      <rPr>
        <sz val="11"/>
        <color rgb="FF030303"/>
        <rFont val="Calibri"/>
        <family val="2"/>
        <charset val="238"/>
        <scheme val="minor"/>
      </rPr>
      <t>UZAVŘENÉ PRACOVIŠTĚ SESTER</t>
    </r>
  </si>
  <si>
    <r>
      <rPr>
        <sz val="11"/>
        <color rgb="FF030303"/>
        <rFont val="Calibri"/>
        <family val="2"/>
        <charset val="238"/>
        <scheme val="minor"/>
      </rPr>
      <t>A</t>
    </r>
    <r>
      <rPr>
        <sz val="11"/>
        <color rgb="FF575757"/>
        <rFont val="Calibri"/>
        <family val="2"/>
        <charset val="238"/>
        <scheme val="minor"/>
      </rPr>
      <t>.</t>
    </r>
    <r>
      <rPr>
        <sz val="11"/>
        <color rgb="FF030303"/>
        <rFont val="Calibri"/>
        <family val="2"/>
        <charset val="238"/>
        <scheme val="minor"/>
      </rPr>
      <t>310a</t>
    </r>
  </si>
  <si>
    <r>
      <rPr>
        <sz val="11"/>
        <color rgb="FF030303"/>
        <rFont val="Calibri"/>
        <family val="2"/>
        <charset val="238"/>
        <scheme val="minor"/>
      </rPr>
      <t>PRACOVIŠTĚ  SESTER</t>
    </r>
  </si>
  <si>
    <r>
      <rPr>
        <sz val="11"/>
        <color rgb="FF030303"/>
        <rFont val="Calibri"/>
        <family val="2"/>
        <charset val="238"/>
        <scheme val="minor"/>
      </rPr>
      <t>A</t>
    </r>
    <r>
      <rPr>
        <sz val="11"/>
        <color rgb="FF575757"/>
        <rFont val="Calibri"/>
        <family val="2"/>
        <charset val="238"/>
        <scheme val="minor"/>
      </rPr>
      <t>.</t>
    </r>
    <r>
      <rPr>
        <sz val="11"/>
        <color rgb="FF030303"/>
        <rFont val="Calibri"/>
        <family val="2"/>
        <charset val="238"/>
        <scheme val="minor"/>
      </rPr>
      <t>310b</t>
    </r>
  </si>
  <si>
    <r>
      <rPr>
        <sz val="11"/>
        <color rgb="FF030303"/>
        <rFont val="Calibri"/>
        <family val="2"/>
        <charset val="238"/>
        <scheme val="minor"/>
      </rPr>
      <t>PŘÍPRAVNA JÍDLA</t>
    </r>
  </si>
  <si>
    <r>
      <rPr>
        <sz val="11"/>
        <color rgb="FF030303"/>
        <rFont val="Calibri"/>
        <family val="2"/>
        <charset val="238"/>
        <scheme val="minor"/>
      </rPr>
      <t>A</t>
    </r>
    <r>
      <rPr>
        <sz val="11"/>
        <color rgb="FF424242"/>
        <rFont val="Calibri"/>
        <family val="2"/>
        <charset val="238"/>
        <scheme val="minor"/>
      </rPr>
      <t>.</t>
    </r>
    <r>
      <rPr>
        <sz val="11"/>
        <color rgb="FF030303"/>
        <rFont val="Calibri"/>
        <family val="2"/>
        <charset val="238"/>
        <scheme val="minor"/>
      </rPr>
      <t>311</t>
    </r>
  </si>
  <si>
    <r>
      <rPr>
        <sz val="11"/>
        <color rgb="FF030303"/>
        <rFont val="Calibri"/>
        <family val="2"/>
        <charset val="238"/>
        <scheme val="minor"/>
      </rPr>
      <t>DENNÍ MÍSTNOST PACIENTŮ</t>
    </r>
  </si>
  <si>
    <r>
      <rPr>
        <sz val="11"/>
        <color rgb="FF030303"/>
        <rFont val="Calibri"/>
        <family val="2"/>
        <charset val="238"/>
        <scheme val="minor"/>
      </rPr>
      <t>A</t>
    </r>
    <r>
      <rPr>
        <sz val="11"/>
        <color rgb="FF575757"/>
        <rFont val="Calibri"/>
        <family val="2"/>
        <charset val="238"/>
        <scheme val="minor"/>
      </rPr>
      <t>.</t>
    </r>
    <r>
      <rPr>
        <sz val="11"/>
        <color rgb="FF030303"/>
        <rFont val="Calibri"/>
        <family val="2"/>
        <charset val="238"/>
        <scheme val="minor"/>
      </rPr>
      <t>313</t>
    </r>
  </si>
  <si>
    <r>
      <rPr>
        <sz val="11"/>
        <color rgb="FF030303"/>
        <rFont val="Calibri"/>
        <family val="2"/>
        <charset val="238"/>
        <scheme val="minor"/>
      </rPr>
      <t>PROSTOR PRO VOZÍKY</t>
    </r>
  </si>
  <si>
    <r>
      <rPr>
        <sz val="11"/>
        <color rgb="FF030303"/>
        <rFont val="Calibri"/>
        <family val="2"/>
        <charset val="238"/>
        <scheme val="minor"/>
      </rPr>
      <t>A</t>
    </r>
    <r>
      <rPr>
        <sz val="11"/>
        <color rgb="FF575757"/>
        <rFont val="Calibri"/>
        <family val="2"/>
        <charset val="238"/>
        <scheme val="minor"/>
      </rPr>
      <t>.</t>
    </r>
    <r>
      <rPr>
        <sz val="11"/>
        <color rgb="FF030303"/>
        <rFont val="Calibri"/>
        <family val="2"/>
        <charset val="238"/>
        <scheme val="minor"/>
      </rPr>
      <t>314</t>
    </r>
  </si>
  <si>
    <r>
      <rPr>
        <sz val="11"/>
        <color rgb="FF030303"/>
        <rFont val="Calibri"/>
        <family val="2"/>
        <charset val="238"/>
        <scheme val="minor"/>
      </rPr>
      <t>VYŠETŘOVNA</t>
    </r>
  </si>
  <si>
    <r>
      <rPr>
        <sz val="11"/>
        <color rgb="FF030303"/>
        <rFont val="Calibri"/>
        <family val="2"/>
        <charset val="238"/>
        <scheme val="minor"/>
      </rPr>
      <t>2400</t>
    </r>
    <r>
      <rPr>
        <sz val="11"/>
        <color rgb="FF2B2B2B"/>
        <rFont val="Calibri"/>
        <family val="2"/>
        <charset val="238"/>
        <scheme val="minor"/>
      </rPr>
      <t xml:space="preserve">, </t>
    </r>
    <r>
      <rPr>
        <sz val="11"/>
        <color rgb="FF030303"/>
        <rFont val="Calibri"/>
        <family val="2"/>
        <charset val="238"/>
        <scheme val="minor"/>
      </rPr>
      <t>2670</t>
    </r>
  </si>
  <si>
    <r>
      <rPr>
        <sz val="11"/>
        <color rgb="FF010101"/>
        <rFont val="Calibri"/>
        <family val="2"/>
        <charset val="238"/>
        <scheme val="minor"/>
      </rPr>
      <t>B.304</t>
    </r>
  </si>
  <si>
    <r>
      <rPr>
        <sz val="11"/>
        <color rgb="FF010101"/>
        <rFont val="Calibri"/>
        <family val="2"/>
        <charset val="238"/>
        <scheme val="minor"/>
      </rPr>
      <t>B</t>
    </r>
    <r>
      <rPr>
        <sz val="11"/>
        <color rgb="FF2B2B2B"/>
        <rFont val="Calibri"/>
        <family val="2"/>
        <charset val="238"/>
        <scheme val="minor"/>
      </rPr>
      <t>.</t>
    </r>
    <r>
      <rPr>
        <sz val="11"/>
        <color rgb="FF131313"/>
        <rFont val="Calibri"/>
        <family val="2"/>
        <charset val="238"/>
        <scheme val="minor"/>
      </rPr>
      <t>305</t>
    </r>
  </si>
  <si>
    <r>
      <rPr>
        <sz val="11"/>
        <color rgb="FF010101"/>
        <rFont val="Calibri"/>
        <family val="2"/>
        <charset val="238"/>
        <scheme val="minor"/>
      </rPr>
      <t>B.306</t>
    </r>
  </si>
  <si>
    <r>
      <rPr>
        <sz val="11"/>
        <color rgb="FF010101"/>
        <rFont val="Calibri"/>
        <family val="2"/>
        <charset val="238"/>
        <scheme val="minor"/>
      </rPr>
      <t>B</t>
    </r>
    <r>
      <rPr>
        <sz val="11"/>
        <color rgb="FF2B2B2B"/>
        <rFont val="Calibri"/>
        <family val="2"/>
        <charset val="238"/>
        <scheme val="minor"/>
      </rPr>
      <t>.</t>
    </r>
    <r>
      <rPr>
        <sz val="11"/>
        <color rgb="FF010101"/>
        <rFont val="Calibri"/>
        <family val="2"/>
        <charset val="238"/>
        <scheme val="minor"/>
      </rPr>
      <t>307</t>
    </r>
  </si>
  <si>
    <r>
      <rPr>
        <sz val="11"/>
        <color rgb="FF010101"/>
        <rFont val="Calibri"/>
        <family val="2"/>
        <charset val="238"/>
        <scheme val="minor"/>
      </rPr>
      <t>B.309</t>
    </r>
  </si>
  <si>
    <r>
      <rPr>
        <sz val="11"/>
        <color rgb="FF010101"/>
        <rFont val="Calibri"/>
        <family val="2"/>
        <charset val="238"/>
        <scheme val="minor"/>
      </rPr>
      <t>B</t>
    </r>
    <r>
      <rPr>
        <sz val="11"/>
        <color rgb="FF2B2B2B"/>
        <rFont val="Calibri"/>
        <family val="2"/>
        <charset val="238"/>
        <scheme val="minor"/>
      </rPr>
      <t>.</t>
    </r>
    <r>
      <rPr>
        <sz val="11"/>
        <color rgb="FF010101"/>
        <rFont val="Calibri"/>
        <family val="2"/>
        <charset val="238"/>
        <scheme val="minor"/>
      </rPr>
      <t>310a</t>
    </r>
  </si>
  <si>
    <r>
      <rPr>
        <sz val="11"/>
        <color rgb="FF010101"/>
        <rFont val="Calibri"/>
        <family val="2"/>
        <charset val="238"/>
        <scheme val="minor"/>
      </rPr>
      <t>PRACOVIŠTĚ  SESTER</t>
    </r>
  </si>
  <si>
    <r>
      <rPr>
        <sz val="11"/>
        <color rgb="FF010101"/>
        <rFont val="Calibri"/>
        <family val="2"/>
        <charset val="238"/>
        <scheme val="minor"/>
      </rPr>
      <t>B</t>
    </r>
    <r>
      <rPr>
        <sz val="11"/>
        <color rgb="FF444444"/>
        <rFont val="Calibri"/>
        <family val="2"/>
        <charset val="238"/>
        <scheme val="minor"/>
      </rPr>
      <t>.</t>
    </r>
    <r>
      <rPr>
        <sz val="11"/>
        <color rgb="FF010101"/>
        <rFont val="Calibri"/>
        <family val="2"/>
        <charset val="238"/>
        <scheme val="minor"/>
      </rPr>
      <t>310b</t>
    </r>
  </si>
  <si>
    <r>
      <rPr>
        <sz val="11"/>
        <color rgb="FF010101"/>
        <rFont val="Calibri"/>
        <family val="2"/>
        <charset val="238"/>
        <scheme val="minor"/>
      </rPr>
      <t>B</t>
    </r>
    <r>
      <rPr>
        <sz val="11"/>
        <color rgb="FF2B2B2B"/>
        <rFont val="Calibri"/>
        <family val="2"/>
        <charset val="238"/>
        <scheme val="minor"/>
      </rPr>
      <t>.</t>
    </r>
    <r>
      <rPr>
        <sz val="11"/>
        <color rgb="FF010101"/>
        <rFont val="Calibri"/>
        <family val="2"/>
        <charset val="238"/>
        <scheme val="minor"/>
      </rPr>
      <t>311</t>
    </r>
  </si>
  <si>
    <r>
      <rPr>
        <sz val="11"/>
        <color rgb="FF010101"/>
        <rFont val="Calibri"/>
        <family val="2"/>
        <charset val="238"/>
        <scheme val="minor"/>
      </rPr>
      <t>B</t>
    </r>
    <r>
      <rPr>
        <sz val="11"/>
        <color rgb="FF444444"/>
        <rFont val="Calibri"/>
        <family val="2"/>
        <charset val="238"/>
        <scheme val="minor"/>
      </rPr>
      <t>.</t>
    </r>
    <r>
      <rPr>
        <sz val="11"/>
        <color rgb="FF131313"/>
        <rFont val="Calibri"/>
        <family val="2"/>
        <charset val="238"/>
        <scheme val="minor"/>
      </rPr>
      <t>312</t>
    </r>
  </si>
  <si>
    <r>
      <rPr>
        <sz val="11"/>
        <color rgb="FF010101"/>
        <rFont val="Calibri"/>
        <family val="2"/>
        <charset val="238"/>
        <scheme val="minor"/>
      </rPr>
      <t>PROSTOR PRO VOZÍKY</t>
    </r>
  </si>
  <si>
    <r>
      <rPr>
        <sz val="11"/>
        <color rgb="FF010101"/>
        <rFont val="Calibri"/>
        <family val="2"/>
        <charset val="238"/>
        <scheme val="minor"/>
      </rPr>
      <t>B</t>
    </r>
    <r>
      <rPr>
        <sz val="11"/>
        <color rgb="FF575757"/>
        <rFont val="Calibri"/>
        <family val="2"/>
        <charset val="238"/>
        <scheme val="minor"/>
      </rPr>
      <t>.</t>
    </r>
    <r>
      <rPr>
        <sz val="11"/>
        <color rgb="FF010101"/>
        <rFont val="Calibri"/>
        <family val="2"/>
        <charset val="238"/>
        <scheme val="minor"/>
      </rPr>
      <t>313</t>
    </r>
  </si>
  <si>
    <r>
      <rPr>
        <sz val="11"/>
        <color rgb="FF010101"/>
        <rFont val="Calibri"/>
        <family val="2"/>
        <charset val="238"/>
        <scheme val="minor"/>
      </rPr>
      <t>VYŠETŘOVNA</t>
    </r>
  </si>
  <si>
    <r>
      <rPr>
        <sz val="11"/>
        <color rgb="FF010101"/>
        <rFont val="Calibri"/>
        <family val="2"/>
        <charset val="238"/>
        <scheme val="minor"/>
      </rPr>
      <t>C</t>
    </r>
    <r>
      <rPr>
        <sz val="11"/>
        <color rgb="FF545454"/>
        <rFont val="Calibri"/>
        <family val="2"/>
        <charset val="238"/>
        <scheme val="minor"/>
      </rPr>
      <t>.</t>
    </r>
    <r>
      <rPr>
        <sz val="11"/>
        <color rgb="FF010101"/>
        <rFont val="Calibri"/>
        <family val="2"/>
        <charset val="238"/>
        <scheme val="minor"/>
      </rPr>
      <t>304</t>
    </r>
  </si>
  <si>
    <r>
      <rPr>
        <sz val="11"/>
        <color rgb="FF010101"/>
        <rFont val="Calibri"/>
        <family val="2"/>
        <charset val="238"/>
        <scheme val="minor"/>
      </rPr>
      <t>C</t>
    </r>
    <r>
      <rPr>
        <sz val="11"/>
        <color rgb="FF424242"/>
        <rFont val="Calibri"/>
        <family val="2"/>
        <charset val="238"/>
        <scheme val="minor"/>
      </rPr>
      <t>.</t>
    </r>
    <r>
      <rPr>
        <sz val="11"/>
        <color rgb="FF010101"/>
        <rFont val="Calibri"/>
        <family val="2"/>
        <charset val="238"/>
        <scheme val="minor"/>
      </rPr>
      <t>305</t>
    </r>
  </si>
  <si>
    <r>
      <rPr>
        <sz val="11"/>
        <color rgb="FF010101"/>
        <rFont val="Calibri"/>
        <family val="2"/>
        <charset val="238"/>
        <scheme val="minor"/>
      </rPr>
      <t>C</t>
    </r>
    <r>
      <rPr>
        <sz val="11"/>
        <color rgb="FF424242"/>
        <rFont val="Calibri"/>
        <family val="2"/>
        <charset val="238"/>
        <scheme val="minor"/>
      </rPr>
      <t>.</t>
    </r>
    <r>
      <rPr>
        <sz val="11"/>
        <color rgb="FF010101"/>
        <rFont val="Calibri"/>
        <family val="2"/>
        <charset val="238"/>
        <scheme val="minor"/>
      </rPr>
      <t>309</t>
    </r>
  </si>
  <si>
    <r>
      <rPr>
        <sz val="11"/>
        <color rgb="FF010101"/>
        <rFont val="Calibri"/>
        <family val="2"/>
        <charset val="238"/>
        <scheme val="minor"/>
      </rPr>
      <t>C</t>
    </r>
    <r>
      <rPr>
        <sz val="11"/>
        <color rgb="FF545454"/>
        <rFont val="Calibri"/>
        <family val="2"/>
        <charset val="238"/>
        <scheme val="minor"/>
      </rPr>
      <t>.</t>
    </r>
    <r>
      <rPr>
        <sz val="11"/>
        <color rgb="FF010101"/>
        <rFont val="Calibri"/>
        <family val="2"/>
        <charset val="238"/>
        <scheme val="minor"/>
      </rPr>
      <t>310a</t>
    </r>
  </si>
  <si>
    <r>
      <rPr>
        <sz val="11"/>
        <color rgb="FF010101"/>
        <rFont val="Calibri"/>
        <family val="2"/>
        <charset val="238"/>
        <scheme val="minor"/>
      </rPr>
      <t>C</t>
    </r>
    <r>
      <rPr>
        <sz val="11"/>
        <color rgb="FF545454"/>
        <rFont val="Calibri"/>
        <family val="2"/>
        <charset val="238"/>
        <scheme val="minor"/>
      </rPr>
      <t>.</t>
    </r>
    <r>
      <rPr>
        <sz val="11"/>
        <color rgb="FF010101"/>
        <rFont val="Calibri"/>
        <family val="2"/>
        <charset val="238"/>
        <scheme val="minor"/>
      </rPr>
      <t>310b</t>
    </r>
  </si>
  <si>
    <r>
      <rPr>
        <sz val="11"/>
        <color rgb="FF010101"/>
        <rFont val="Calibri"/>
        <family val="2"/>
        <charset val="238"/>
        <scheme val="minor"/>
      </rPr>
      <t>C</t>
    </r>
    <r>
      <rPr>
        <sz val="11"/>
        <color rgb="FF424242"/>
        <rFont val="Calibri"/>
        <family val="2"/>
        <charset val="238"/>
        <scheme val="minor"/>
      </rPr>
      <t>.</t>
    </r>
    <r>
      <rPr>
        <sz val="11"/>
        <color rgb="FF010101"/>
        <rFont val="Calibri"/>
        <family val="2"/>
        <charset val="238"/>
        <scheme val="minor"/>
      </rPr>
      <t>311</t>
    </r>
  </si>
  <si>
    <r>
      <rPr>
        <sz val="11"/>
        <color rgb="FF010101"/>
        <rFont val="Calibri"/>
        <family val="2"/>
        <charset val="238"/>
        <scheme val="minor"/>
      </rPr>
      <t>C</t>
    </r>
    <r>
      <rPr>
        <sz val="11"/>
        <color rgb="FF424242"/>
        <rFont val="Calibri"/>
        <family val="2"/>
        <charset val="238"/>
        <scheme val="minor"/>
      </rPr>
      <t>.</t>
    </r>
    <r>
      <rPr>
        <sz val="11"/>
        <color rgb="FF010101"/>
        <rFont val="Calibri"/>
        <family val="2"/>
        <charset val="238"/>
        <scheme val="minor"/>
      </rPr>
      <t>313</t>
    </r>
  </si>
  <si>
    <r>
      <rPr>
        <sz val="11"/>
        <color rgb="FF010101"/>
        <rFont val="Calibri"/>
        <family val="2"/>
        <charset val="238"/>
        <scheme val="minor"/>
      </rPr>
      <t>C</t>
    </r>
    <r>
      <rPr>
        <sz val="11"/>
        <color rgb="FF545454"/>
        <rFont val="Calibri"/>
        <family val="2"/>
        <charset val="238"/>
        <scheme val="minor"/>
      </rPr>
      <t>.</t>
    </r>
    <r>
      <rPr>
        <sz val="11"/>
        <color rgb="FF010101"/>
        <rFont val="Calibri"/>
        <family val="2"/>
        <charset val="238"/>
        <scheme val="minor"/>
      </rPr>
      <t>314</t>
    </r>
  </si>
  <si>
    <r>
      <rPr>
        <sz val="11"/>
        <color rgb="FF010101"/>
        <rFont val="Calibri"/>
        <family val="2"/>
        <charset val="238"/>
        <scheme val="minor"/>
      </rPr>
      <t>A.404</t>
    </r>
  </si>
  <si>
    <r>
      <rPr>
        <sz val="11"/>
        <color rgb="FF010101"/>
        <rFont val="Calibri"/>
        <family val="2"/>
        <charset val="238"/>
        <scheme val="minor"/>
      </rPr>
      <t>A.405</t>
    </r>
  </si>
  <si>
    <r>
      <rPr>
        <sz val="11"/>
        <color rgb="FF010101"/>
        <rFont val="Calibri"/>
        <family val="2"/>
        <charset val="238"/>
        <scheme val="minor"/>
      </rPr>
      <t>A.406</t>
    </r>
  </si>
  <si>
    <r>
      <rPr>
        <sz val="11"/>
        <color rgb="FF010101"/>
        <rFont val="Calibri"/>
        <family val="2"/>
        <charset val="238"/>
        <scheme val="minor"/>
      </rPr>
      <t>A</t>
    </r>
    <r>
      <rPr>
        <sz val="11"/>
        <color rgb="FF464646"/>
        <rFont val="Calibri"/>
        <family val="2"/>
        <charset val="238"/>
        <scheme val="minor"/>
      </rPr>
      <t>.</t>
    </r>
    <r>
      <rPr>
        <sz val="11"/>
        <color rgb="FF010101"/>
        <rFont val="Calibri"/>
        <family val="2"/>
        <charset val="238"/>
        <scheme val="minor"/>
      </rPr>
      <t>407</t>
    </r>
  </si>
  <si>
    <r>
      <rPr>
        <sz val="11"/>
        <color rgb="FF010101"/>
        <rFont val="Calibri"/>
        <family val="2"/>
        <charset val="238"/>
        <scheme val="minor"/>
      </rPr>
      <t>A.409</t>
    </r>
  </si>
  <si>
    <r>
      <rPr>
        <sz val="11"/>
        <color rgb="FF010101"/>
        <rFont val="Calibri"/>
        <family val="2"/>
        <charset val="238"/>
        <scheme val="minor"/>
      </rPr>
      <t>A.410a</t>
    </r>
  </si>
  <si>
    <r>
      <rPr>
        <sz val="11"/>
        <color rgb="FF010101"/>
        <rFont val="Calibri"/>
        <family val="2"/>
        <charset val="238"/>
        <scheme val="minor"/>
      </rPr>
      <t>A.410b</t>
    </r>
  </si>
  <si>
    <r>
      <rPr>
        <sz val="11"/>
        <color rgb="FF010101"/>
        <rFont val="Calibri"/>
        <family val="2"/>
        <charset val="238"/>
        <scheme val="minor"/>
      </rPr>
      <t>A.411</t>
    </r>
  </si>
  <si>
    <r>
      <rPr>
        <sz val="11"/>
        <color rgb="FF010101"/>
        <rFont val="Calibri"/>
        <family val="2"/>
        <charset val="238"/>
        <scheme val="minor"/>
      </rPr>
      <t>A.416</t>
    </r>
  </si>
  <si>
    <r>
      <rPr>
        <sz val="11"/>
        <color rgb="FF010101"/>
        <rFont val="Calibri"/>
        <family val="2"/>
        <charset val="238"/>
        <scheme val="minor"/>
      </rPr>
      <t>DENNÍ MISTNOST</t>
    </r>
  </si>
  <si>
    <r>
      <rPr>
        <sz val="11"/>
        <color rgb="FF010101"/>
        <rFont val="Calibri"/>
        <family val="2"/>
        <charset val="238"/>
        <scheme val="minor"/>
      </rPr>
      <t>B.404</t>
    </r>
  </si>
  <si>
    <r>
      <rPr>
        <sz val="11"/>
        <color rgb="FF010101"/>
        <rFont val="Calibri"/>
        <family val="2"/>
        <charset val="238"/>
        <scheme val="minor"/>
      </rPr>
      <t>B.405</t>
    </r>
  </si>
  <si>
    <r>
      <rPr>
        <sz val="11"/>
        <color rgb="FF010101"/>
        <rFont val="Calibri"/>
        <family val="2"/>
        <charset val="238"/>
        <scheme val="minor"/>
      </rPr>
      <t>B.406</t>
    </r>
  </si>
  <si>
    <r>
      <rPr>
        <sz val="11"/>
        <color rgb="FF010101"/>
        <rFont val="Calibri"/>
        <family val="2"/>
        <charset val="238"/>
        <scheme val="minor"/>
      </rPr>
      <t>B</t>
    </r>
    <r>
      <rPr>
        <sz val="11"/>
        <color rgb="FF4B4B4B"/>
        <rFont val="Calibri"/>
        <family val="2"/>
        <charset val="238"/>
        <scheme val="minor"/>
      </rPr>
      <t>.</t>
    </r>
    <r>
      <rPr>
        <sz val="11"/>
        <color rgb="FF010101"/>
        <rFont val="Calibri"/>
        <family val="2"/>
        <charset val="238"/>
        <scheme val="minor"/>
      </rPr>
      <t>407</t>
    </r>
  </si>
  <si>
    <r>
      <rPr>
        <sz val="11"/>
        <color rgb="FF010101"/>
        <rFont val="Calibri"/>
        <family val="2"/>
        <charset val="238"/>
        <scheme val="minor"/>
      </rPr>
      <t>B.409</t>
    </r>
  </si>
  <si>
    <r>
      <rPr>
        <sz val="11"/>
        <color rgb="FF010101"/>
        <rFont val="Calibri"/>
        <family val="2"/>
        <charset val="238"/>
        <scheme val="minor"/>
      </rPr>
      <t>B.410a</t>
    </r>
  </si>
  <si>
    <r>
      <rPr>
        <sz val="11"/>
        <color rgb="FF010101"/>
        <rFont val="Calibri"/>
        <family val="2"/>
        <charset val="238"/>
        <scheme val="minor"/>
      </rPr>
      <t>B.411</t>
    </r>
  </si>
  <si>
    <r>
      <rPr>
        <sz val="11"/>
        <color rgb="FF010101"/>
        <rFont val="Calibri"/>
        <family val="2"/>
        <charset val="238"/>
        <scheme val="minor"/>
      </rPr>
      <t>B.415</t>
    </r>
  </si>
  <si>
    <r>
      <rPr>
        <sz val="11"/>
        <color rgb="FF010101"/>
        <rFont val="Calibri"/>
        <family val="2"/>
        <charset val="238"/>
        <scheme val="minor"/>
      </rPr>
      <t>C.404</t>
    </r>
  </si>
  <si>
    <r>
      <rPr>
        <sz val="11"/>
        <color rgb="FF010101"/>
        <rFont val="Calibri"/>
        <family val="2"/>
        <charset val="238"/>
        <scheme val="minor"/>
      </rPr>
      <t>C.405</t>
    </r>
  </si>
  <si>
    <r>
      <rPr>
        <sz val="11"/>
        <color rgb="FF010101"/>
        <rFont val="Calibri"/>
        <family val="2"/>
        <charset val="238"/>
        <scheme val="minor"/>
      </rPr>
      <t>C.406</t>
    </r>
  </si>
  <si>
    <r>
      <rPr>
        <sz val="11"/>
        <color rgb="FF010101"/>
        <rFont val="Calibri"/>
        <family val="2"/>
        <charset val="238"/>
        <scheme val="minor"/>
      </rPr>
      <t>C.407</t>
    </r>
  </si>
  <si>
    <r>
      <rPr>
        <sz val="11"/>
        <color rgb="FF010101"/>
        <rFont val="Calibri"/>
        <family val="2"/>
        <charset val="238"/>
        <scheme val="minor"/>
      </rPr>
      <t>C.409</t>
    </r>
  </si>
  <si>
    <r>
      <rPr>
        <sz val="11"/>
        <color rgb="FF010101"/>
        <rFont val="Calibri"/>
        <family val="2"/>
        <charset val="238"/>
        <scheme val="minor"/>
      </rPr>
      <t>C.410a</t>
    </r>
  </si>
  <si>
    <r>
      <rPr>
        <sz val="11"/>
        <color rgb="FF010101"/>
        <rFont val="Calibri"/>
        <family val="2"/>
        <charset val="238"/>
        <scheme val="minor"/>
      </rPr>
      <t>C.411</t>
    </r>
  </si>
  <si>
    <r>
      <rPr>
        <sz val="11"/>
        <color rgb="FF010101"/>
        <rFont val="Calibri"/>
        <family val="2"/>
        <charset val="238"/>
        <scheme val="minor"/>
      </rPr>
      <t>C.416</t>
    </r>
  </si>
  <si>
    <r>
      <rPr>
        <sz val="11"/>
        <color rgb="FF010101"/>
        <rFont val="Calibri"/>
        <family val="2"/>
        <charset val="238"/>
        <scheme val="minor"/>
      </rPr>
      <t>C</t>
    </r>
    <r>
      <rPr>
        <sz val="11"/>
        <color rgb="FF545454"/>
        <rFont val="Calibri"/>
        <family val="2"/>
        <charset val="238"/>
        <scheme val="minor"/>
      </rPr>
      <t>.</t>
    </r>
    <r>
      <rPr>
        <sz val="11"/>
        <color rgb="FF010101"/>
        <rFont val="Calibri"/>
        <family val="2"/>
        <charset val="238"/>
        <scheme val="minor"/>
      </rPr>
      <t>315</t>
    </r>
  </si>
  <si>
    <r>
      <rPr>
        <sz val="11"/>
        <color rgb="FF010101"/>
        <rFont val="Calibri"/>
        <family val="2"/>
        <charset val="238"/>
        <scheme val="minor"/>
      </rPr>
      <t>WC INVALIDNÍ</t>
    </r>
  </si>
  <si>
    <r>
      <rPr>
        <sz val="11"/>
        <color rgb="FF010101"/>
        <rFont val="Calibri"/>
        <family val="2"/>
        <charset val="238"/>
        <scheme val="minor"/>
      </rPr>
      <t>P19</t>
    </r>
    <r>
      <rPr>
        <sz val="11"/>
        <rFont val="Calibri"/>
        <family val="2"/>
        <charset val="238"/>
        <scheme val="minor"/>
      </rPr>
      <t>a</t>
    </r>
  </si>
  <si>
    <r>
      <rPr>
        <sz val="11"/>
        <color rgb="FF010101"/>
        <rFont val="Calibri"/>
        <family val="2"/>
        <charset val="238"/>
        <scheme val="minor"/>
      </rPr>
      <t>C</t>
    </r>
    <r>
      <rPr>
        <sz val="11"/>
        <color rgb="FF545454"/>
        <rFont val="Calibri"/>
        <family val="2"/>
        <charset val="238"/>
        <scheme val="minor"/>
      </rPr>
      <t>.</t>
    </r>
    <r>
      <rPr>
        <sz val="11"/>
        <color rgb="FF010101"/>
        <rFont val="Calibri"/>
        <family val="2"/>
        <charset val="238"/>
        <scheme val="minor"/>
      </rPr>
      <t>316</t>
    </r>
  </si>
  <si>
    <r>
      <rPr>
        <sz val="11"/>
        <color rgb="FF010101"/>
        <rFont val="Calibri"/>
        <family val="2"/>
        <charset val="238"/>
        <scheme val="minor"/>
      </rPr>
      <t>A.020</t>
    </r>
  </si>
  <si>
    <r>
      <rPr>
        <sz val="11"/>
        <color rgb="FF010101"/>
        <rFont val="Calibri"/>
        <family val="2"/>
        <charset val="238"/>
        <scheme val="minor"/>
      </rPr>
      <t>ŠATNA ŽENY</t>
    </r>
  </si>
  <si>
    <r>
      <rPr>
        <sz val="11"/>
        <color rgb="FF010101"/>
        <rFont val="Calibri"/>
        <family val="2"/>
        <charset val="238"/>
        <scheme val="minor"/>
      </rPr>
      <t>A.021</t>
    </r>
  </si>
  <si>
    <r>
      <rPr>
        <sz val="11"/>
        <color rgb="FF010101"/>
        <rFont val="Calibri"/>
        <family val="2"/>
        <charset val="238"/>
        <scheme val="minor"/>
      </rPr>
      <t>SPRCHA ŽENY</t>
    </r>
  </si>
  <si>
    <r>
      <rPr>
        <sz val="11"/>
        <color rgb="FF010101"/>
        <rFont val="Calibri"/>
        <family val="2"/>
        <charset val="238"/>
        <scheme val="minor"/>
      </rPr>
      <t>A.022</t>
    </r>
  </si>
  <si>
    <r>
      <rPr>
        <sz val="11"/>
        <color rgb="FF010101"/>
        <rFont val="Calibri"/>
        <family val="2"/>
        <charset val="238"/>
        <scheme val="minor"/>
      </rPr>
      <t>WC ŽENY PŘEDSÍŇ</t>
    </r>
  </si>
  <si>
    <r>
      <rPr>
        <sz val="11"/>
        <color rgb="FF010101"/>
        <rFont val="Calibri"/>
        <family val="2"/>
        <charset val="238"/>
        <scheme val="minor"/>
      </rPr>
      <t>A.023</t>
    </r>
  </si>
  <si>
    <r>
      <rPr>
        <sz val="11"/>
        <color rgb="FF010101"/>
        <rFont val="Calibri"/>
        <family val="2"/>
        <charset val="238"/>
        <scheme val="minor"/>
      </rPr>
      <t>WC ŽENY</t>
    </r>
  </si>
  <si>
    <r>
      <rPr>
        <sz val="11"/>
        <color rgb="FF010101"/>
        <rFont val="Calibri"/>
        <family val="2"/>
        <charset val="238"/>
        <scheme val="minor"/>
      </rPr>
      <t>A.024</t>
    </r>
  </si>
  <si>
    <r>
      <rPr>
        <sz val="11"/>
        <color rgb="FF010101"/>
        <rFont val="Calibri"/>
        <family val="2"/>
        <charset val="238"/>
        <scheme val="minor"/>
      </rPr>
      <t>ŠATNA MUŽI</t>
    </r>
  </si>
  <si>
    <r>
      <rPr>
        <sz val="11"/>
        <color rgb="FF010101"/>
        <rFont val="Calibri"/>
        <family val="2"/>
        <charset val="238"/>
        <scheme val="minor"/>
      </rPr>
      <t>A.025</t>
    </r>
  </si>
  <si>
    <r>
      <rPr>
        <sz val="11"/>
        <color rgb="FF010101"/>
        <rFont val="Calibri"/>
        <family val="2"/>
        <charset val="238"/>
        <scheme val="minor"/>
      </rPr>
      <t>SPRCHA MUŽI</t>
    </r>
  </si>
  <si>
    <r>
      <rPr>
        <sz val="11"/>
        <color rgb="FF010101"/>
        <rFont val="Calibri"/>
        <family val="2"/>
        <charset val="238"/>
        <scheme val="minor"/>
      </rPr>
      <t>A.026a</t>
    </r>
  </si>
  <si>
    <r>
      <rPr>
        <sz val="11"/>
        <color rgb="FF010101"/>
        <rFont val="Calibri"/>
        <family val="2"/>
        <charset val="238"/>
        <scheme val="minor"/>
      </rPr>
      <t>WC MUŽI PŘEDSÍŇ</t>
    </r>
  </si>
  <si>
    <r>
      <rPr>
        <sz val="11"/>
        <color rgb="FF010101"/>
        <rFont val="Calibri"/>
        <family val="2"/>
        <charset val="238"/>
        <scheme val="minor"/>
      </rPr>
      <t>A.026b</t>
    </r>
  </si>
  <si>
    <r>
      <rPr>
        <sz val="11"/>
        <color rgb="FF010101"/>
        <rFont val="Calibri"/>
        <family val="2"/>
        <charset val="238"/>
        <scheme val="minor"/>
      </rPr>
      <t>WC MUŽI</t>
    </r>
  </si>
  <si>
    <r>
      <rPr>
        <sz val="11"/>
        <color rgb="FF010101"/>
        <rFont val="Calibri"/>
        <family val="2"/>
        <charset val="238"/>
        <scheme val="minor"/>
      </rPr>
      <t>B</t>
    </r>
    <r>
      <rPr>
        <sz val="11"/>
        <color rgb="FF484848"/>
        <rFont val="Calibri"/>
        <family val="2"/>
        <charset val="238"/>
        <scheme val="minor"/>
      </rPr>
      <t>.</t>
    </r>
    <r>
      <rPr>
        <sz val="11"/>
        <color rgb="FF010101"/>
        <rFont val="Calibri"/>
        <family val="2"/>
        <charset val="238"/>
        <scheme val="minor"/>
      </rPr>
      <t>014</t>
    </r>
  </si>
  <si>
    <r>
      <rPr>
        <sz val="11"/>
        <color rgb="FF0F0F0F"/>
        <rFont val="Calibri"/>
        <family val="2"/>
        <charset val="238"/>
        <scheme val="minor"/>
      </rPr>
      <t>T3</t>
    </r>
  </si>
  <si>
    <r>
      <rPr>
        <sz val="11"/>
        <color rgb="FF010101"/>
        <rFont val="Calibri"/>
        <family val="2"/>
        <charset val="238"/>
        <scheme val="minor"/>
      </rPr>
      <t>B</t>
    </r>
    <r>
      <rPr>
        <sz val="11"/>
        <color rgb="FF484848"/>
        <rFont val="Calibri"/>
        <family val="2"/>
        <charset val="238"/>
        <scheme val="minor"/>
      </rPr>
      <t>.</t>
    </r>
    <r>
      <rPr>
        <sz val="11"/>
        <color rgb="FF010101"/>
        <rFont val="Calibri"/>
        <family val="2"/>
        <charset val="238"/>
        <scheme val="minor"/>
      </rPr>
      <t>015</t>
    </r>
  </si>
  <si>
    <r>
      <rPr>
        <sz val="11"/>
        <color rgb="FF010101"/>
        <rFont val="Calibri"/>
        <family val="2"/>
        <charset val="238"/>
        <scheme val="minor"/>
      </rPr>
      <t>B</t>
    </r>
    <r>
      <rPr>
        <sz val="11"/>
        <color rgb="FF484848"/>
        <rFont val="Calibri"/>
        <family val="2"/>
        <charset val="238"/>
        <scheme val="minor"/>
      </rPr>
      <t>.</t>
    </r>
    <r>
      <rPr>
        <sz val="11"/>
        <color rgb="FF010101"/>
        <rFont val="Calibri"/>
        <family val="2"/>
        <charset val="238"/>
        <scheme val="minor"/>
      </rPr>
      <t>016a</t>
    </r>
  </si>
  <si>
    <r>
      <rPr>
        <sz val="11"/>
        <color rgb="FF010101"/>
        <rFont val="Calibri"/>
        <family val="2"/>
        <charset val="238"/>
        <scheme val="minor"/>
      </rPr>
      <t>B</t>
    </r>
    <r>
      <rPr>
        <sz val="11"/>
        <color rgb="FF484848"/>
        <rFont val="Calibri"/>
        <family val="2"/>
        <charset val="238"/>
        <scheme val="minor"/>
      </rPr>
      <t>.</t>
    </r>
    <r>
      <rPr>
        <sz val="11"/>
        <color rgb="FF010101"/>
        <rFont val="Calibri"/>
        <family val="2"/>
        <charset val="238"/>
        <scheme val="minor"/>
      </rPr>
      <t>016b</t>
    </r>
  </si>
  <si>
    <r>
      <rPr>
        <sz val="11"/>
        <color rgb="FF010101"/>
        <rFont val="Calibri"/>
        <family val="2"/>
        <charset val="238"/>
        <scheme val="minor"/>
      </rPr>
      <t>B</t>
    </r>
    <r>
      <rPr>
        <sz val="11"/>
        <color rgb="FF484848"/>
        <rFont val="Calibri"/>
        <family val="2"/>
        <charset val="238"/>
        <scheme val="minor"/>
      </rPr>
      <t>.</t>
    </r>
    <r>
      <rPr>
        <sz val="11"/>
        <color rgb="FF010101"/>
        <rFont val="Calibri"/>
        <family val="2"/>
        <charset val="238"/>
        <scheme val="minor"/>
      </rPr>
      <t>017</t>
    </r>
  </si>
  <si>
    <r>
      <rPr>
        <sz val="11"/>
        <color rgb="FF010101"/>
        <rFont val="Calibri"/>
        <family val="2"/>
        <charset val="238"/>
        <scheme val="minor"/>
      </rPr>
      <t>B</t>
    </r>
    <r>
      <rPr>
        <sz val="11"/>
        <color rgb="FF565656"/>
        <rFont val="Calibri"/>
        <family val="2"/>
        <charset val="238"/>
        <scheme val="minor"/>
      </rPr>
      <t>.</t>
    </r>
    <r>
      <rPr>
        <sz val="11"/>
        <color rgb="FF010101"/>
        <rFont val="Calibri"/>
        <family val="2"/>
        <charset val="238"/>
        <scheme val="minor"/>
      </rPr>
      <t>018</t>
    </r>
  </si>
  <si>
    <r>
      <rPr>
        <sz val="11"/>
        <color rgb="FF010101"/>
        <rFont val="Calibri"/>
        <family val="2"/>
        <charset val="238"/>
        <scheme val="minor"/>
      </rPr>
      <t>B</t>
    </r>
    <r>
      <rPr>
        <sz val="11"/>
        <color rgb="FF484848"/>
        <rFont val="Calibri"/>
        <family val="2"/>
        <charset val="238"/>
        <scheme val="minor"/>
      </rPr>
      <t>.</t>
    </r>
    <r>
      <rPr>
        <sz val="11"/>
        <color rgb="FF010101"/>
        <rFont val="Calibri"/>
        <family val="2"/>
        <charset val="238"/>
        <scheme val="minor"/>
      </rPr>
      <t>019</t>
    </r>
  </si>
  <si>
    <r>
      <rPr>
        <sz val="11"/>
        <color rgb="FF010101"/>
        <rFont val="Calibri"/>
        <family val="2"/>
        <charset val="238"/>
        <scheme val="minor"/>
      </rPr>
      <t>B</t>
    </r>
    <r>
      <rPr>
        <sz val="11"/>
        <color rgb="FF333333"/>
        <rFont val="Calibri"/>
        <family val="2"/>
        <charset val="238"/>
        <scheme val="minor"/>
      </rPr>
      <t>.</t>
    </r>
    <r>
      <rPr>
        <sz val="11"/>
        <color rgb="FF010101"/>
        <rFont val="Calibri"/>
        <family val="2"/>
        <charset val="238"/>
        <scheme val="minor"/>
      </rPr>
      <t>020</t>
    </r>
  </si>
  <si>
    <r>
      <rPr>
        <sz val="11"/>
        <color rgb="FF010101"/>
        <rFont val="Calibri"/>
        <family val="2"/>
        <charset val="238"/>
        <scheme val="minor"/>
      </rPr>
      <t>C</t>
    </r>
    <r>
      <rPr>
        <sz val="11"/>
        <color rgb="FF525252"/>
        <rFont val="Calibri"/>
        <family val="2"/>
        <charset val="238"/>
        <scheme val="minor"/>
      </rPr>
      <t>.</t>
    </r>
    <r>
      <rPr>
        <sz val="11"/>
        <color rgb="FF010101"/>
        <rFont val="Calibri"/>
        <family val="2"/>
        <charset val="238"/>
        <scheme val="minor"/>
      </rPr>
      <t>011</t>
    </r>
  </si>
  <si>
    <r>
      <rPr>
        <sz val="11"/>
        <color rgb="FF010101"/>
        <rFont val="Calibri"/>
        <family val="2"/>
        <charset val="238"/>
        <scheme val="minor"/>
      </rPr>
      <t>C</t>
    </r>
    <r>
      <rPr>
        <sz val="11"/>
        <color rgb="FF525252"/>
        <rFont val="Calibri"/>
        <family val="2"/>
        <charset val="238"/>
        <scheme val="minor"/>
      </rPr>
      <t>.</t>
    </r>
    <r>
      <rPr>
        <sz val="11"/>
        <color rgb="FF010101"/>
        <rFont val="Calibri"/>
        <family val="2"/>
        <charset val="238"/>
        <scheme val="minor"/>
      </rPr>
      <t>012</t>
    </r>
  </si>
  <si>
    <r>
      <rPr>
        <sz val="11"/>
        <color rgb="FF010101"/>
        <rFont val="Calibri"/>
        <family val="2"/>
        <charset val="238"/>
        <scheme val="minor"/>
      </rPr>
      <t>C</t>
    </r>
    <r>
      <rPr>
        <sz val="11"/>
        <color rgb="FF525252"/>
        <rFont val="Calibri"/>
        <family val="2"/>
        <charset val="238"/>
        <scheme val="minor"/>
      </rPr>
      <t>.</t>
    </r>
    <r>
      <rPr>
        <sz val="11"/>
        <color rgb="FF010101"/>
        <rFont val="Calibri"/>
        <family val="2"/>
        <charset val="238"/>
        <scheme val="minor"/>
      </rPr>
      <t>013a</t>
    </r>
  </si>
  <si>
    <r>
      <rPr>
        <sz val="11"/>
        <color rgb="FF010101"/>
        <rFont val="Calibri"/>
        <family val="2"/>
        <charset val="238"/>
        <scheme val="minor"/>
      </rPr>
      <t>C</t>
    </r>
    <r>
      <rPr>
        <sz val="11"/>
        <color rgb="FF525252"/>
        <rFont val="Calibri"/>
        <family val="2"/>
        <charset val="238"/>
        <scheme val="minor"/>
      </rPr>
      <t>.</t>
    </r>
    <r>
      <rPr>
        <sz val="11"/>
        <color rgb="FF010101"/>
        <rFont val="Calibri"/>
        <family val="2"/>
        <charset val="238"/>
        <scheme val="minor"/>
      </rPr>
      <t>013b</t>
    </r>
  </si>
  <si>
    <r>
      <rPr>
        <sz val="11"/>
        <color rgb="FF010101"/>
        <rFont val="Calibri"/>
        <family val="2"/>
        <charset val="238"/>
        <scheme val="minor"/>
      </rPr>
      <t>C</t>
    </r>
    <r>
      <rPr>
        <sz val="11"/>
        <color rgb="FF525252"/>
        <rFont val="Calibri"/>
        <family val="2"/>
        <charset val="238"/>
        <scheme val="minor"/>
      </rPr>
      <t>.</t>
    </r>
    <r>
      <rPr>
        <sz val="11"/>
        <color rgb="FF010101"/>
        <rFont val="Calibri"/>
        <family val="2"/>
        <charset val="238"/>
        <scheme val="minor"/>
      </rPr>
      <t>014</t>
    </r>
  </si>
  <si>
    <r>
      <rPr>
        <sz val="11"/>
        <color rgb="FF010101"/>
        <rFont val="Calibri"/>
        <family val="2"/>
        <charset val="238"/>
        <scheme val="minor"/>
      </rPr>
      <t>T</t>
    </r>
    <r>
      <rPr>
        <sz val="11"/>
        <color rgb="FF232323"/>
        <rFont val="Calibri"/>
        <family val="2"/>
        <charset val="238"/>
        <scheme val="minor"/>
      </rPr>
      <t>3</t>
    </r>
  </si>
  <si>
    <r>
      <rPr>
        <sz val="11"/>
        <color rgb="FF010101"/>
        <rFont val="Calibri"/>
        <family val="2"/>
        <charset val="238"/>
        <scheme val="minor"/>
      </rPr>
      <t>C</t>
    </r>
    <r>
      <rPr>
        <sz val="11"/>
        <color rgb="FF525252"/>
        <rFont val="Calibri"/>
        <family val="2"/>
        <charset val="238"/>
        <scheme val="minor"/>
      </rPr>
      <t>.</t>
    </r>
    <r>
      <rPr>
        <sz val="11"/>
        <color rgb="FF010101"/>
        <rFont val="Calibri"/>
        <family val="2"/>
        <charset val="238"/>
        <scheme val="minor"/>
      </rPr>
      <t>015</t>
    </r>
  </si>
  <si>
    <r>
      <rPr>
        <sz val="11"/>
        <color rgb="FF010101"/>
        <rFont val="Calibri"/>
        <family val="2"/>
        <charset val="238"/>
        <scheme val="minor"/>
      </rPr>
      <t>C</t>
    </r>
    <r>
      <rPr>
        <sz val="11"/>
        <color rgb="FF525252"/>
        <rFont val="Calibri"/>
        <family val="2"/>
        <charset val="238"/>
        <scheme val="minor"/>
      </rPr>
      <t>.</t>
    </r>
    <r>
      <rPr>
        <sz val="11"/>
        <color rgb="FF010101"/>
        <rFont val="Calibri"/>
        <family val="2"/>
        <charset val="238"/>
        <scheme val="minor"/>
      </rPr>
      <t>016</t>
    </r>
  </si>
  <si>
    <r>
      <rPr>
        <sz val="11"/>
        <color rgb="FF010101"/>
        <rFont val="Calibri"/>
        <family val="2"/>
        <charset val="238"/>
        <scheme val="minor"/>
      </rPr>
      <t>C</t>
    </r>
    <r>
      <rPr>
        <sz val="11"/>
        <color rgb="FF525252"/>
        <rFont val="Calibri"/>
        <family val="2"/>
        <charset val="238"/>
        <scheme val="minor"/>
      </rPr>
      <t>.</t>
    </r>
    <r>
      <rPr>
        <sz val="11"/>
        <color rgb="FF010101"/>
        <rFont val="Calibri"/>
        <family val="2"/>
        <charset val="238"/>
        <scheme val="minor"/>
      </rPr>
      <t>017</t>
    </r>
  </si>
  <si>
    <r>
      <rPr>
        <sz val="11"/>
        <color rgb="FF010101"/>
        <rFont val="Calibri"/>
        <family val="2"/>
        <charset val="238"/>
        <scheme val="minor"/>
      </rPr>
      <t>C</t>
    </r>
    <r>
      <rPr>
        <sz val="11"/>
        <color rgb="FF3D3D3D"/>
        <rFont val="Calibri"/>
        <family val="2"/>
        <charset val="238"/>
        <scheme val="minor"/>
      </rPr>
      <t>.</t>
    </r>
    <r>
      <rPr>
        <sz val="11"/>
        <color rgb="FF010101"/>
        <rFont val="Calibri"/>
        <family val="2"/>
        <charset val="238"/>
        <scheme val="minor"/>
      </rPr>
      <t>018</t>
    </r>
  </si>
  <si>
    <r>
      <rPr>
        <sz val="11"/>
        <color rgb="FF010101"/>
        <rFont val="Calibri"/>
        <family val="2"/>
        <charset val="238"/>
        <scheme val="minor"/>
      </rPr>
      <t>ŠATNA IMOBILNÍ</t>
    </r>
  </si>
  <si>
    <r>
      <rPr>
        <sz val="11"/>
        <color rgb="FF010101"/>
        <rFont val="Calibri"/>
        <family val="2"/>
        <charset val="238"/>
        <scheme val="minor"/>
      </rPr>
      <t>C</t>
    </r>
    <r>
      <rPr>
        <sz val="11"/>
        <color rgb="FF525252"/>
        <rFont val="Calibri"/>
        <family val="2"/>
        <charset val="238"/>
        <scheme val="minor"/>
      </rPr>
      <t>.</t>
    </r>
    <r>
      <rPr>
        <sz val="11"/>
        <color rgb="FF010101"/>
        <rFont val="Calibri"/>
        <family val="2"/>
        <charset val="238"/>
        <scheme val="minor"/>
      </rPr>
      <t>019</t>
    </r>
  </si>
  <si>
    <r>
      <rPr>
        <sz val="11"/>
        <color rgb="FF010101"/>
        <rFont val="Calibri"/>
        <family val="2"/>
        <charset val="238"/>
        <scheme val="minor"/>
      </rPr>
      <t>SPRCHA IMOBILNÍ</t>
    </r>
  </si>
  <si>
    <r>
      <rPr>
        <sz val="11"/>
        <color rgb="FF010101"/>
        <rFont val="Calibri"/>
        <family val="2"/>
        <charset val="238"/>
        <scheme val="minor"/>
      </rPr>
      <t>C</t>
    </r>
    <r>
      <rPr>
        <sz val="11"/>
        <color rgb="FF525252"/>
        <rFont val="Calibri"/>
        <family val="2"/>
        <charset val="238"/>
        <scheme val="minor"/>
      </rPr>
      <t>.</t>
    </r>
    <r>
      <rPr>
        <sz val="11"/>
        <color rgb="FF010101"/>
        <rFont val="Calibri"/>
        <family val="2"/>
        <charset val="238"/>
        <scheme val="minor"/>
      </rPr>
      <t>020</t>
    </r>
  </si>
  <si>
    <r>
      <rPr>
        <sz val="11"/>
        <color rgb="FF010101"/>
        <rFont val="Calibri"/>
        <family val="2"/>
        <charset val="238"/>
        <scheme val="minor"/>
      </rPr>
      <t>WC IMOBILNÍ</t>
    </r>
  </si>
  <si>
    <r>
      <rPr>
        <sz val="11"/>
        <color rgb="FF030303"/>
        <rFont val="Calibri"/>
        <family val="2"/>
        <charset val="238"/>
        <scheme val="minor"/>
      </rPr>
      <t>C</t>
    </r>
    <r>
      <rPr>
        <sz val="11"/>
        <color rgb="FF2A2A2A"/>
        <rFont val="Calibri"/>
        <family val="2"/>
        <charset val="238"/>
        <scheme val="minor"/>
      </rPr>
      <t>.</t>
    </r>
    <r>
      <rPr>
        <sz val="11"/>
        <color rgb="FF030303"/>
        <rFont val="Calibri"/>
        <family val="2"/>
        <charset val="238"/>
        <scheme val="minor"/>
      </rPr>
      <t>210a</t>
    </r>
  </si>
  <si>
    <r>
      <rPr>
        <sz val="11"/>
        <color rgb="FF030303"/>
        <rFont val="Calibri"/>
        <family val="2"/>
        <charset val="238"/>
        <scheme val="minor"/>
      </rPr>
      <t>P20</t>
    </r>
  </si>
  <si>
    <r>
      <rPr>
        <sz val="11"/>
        <color rgb="FF030303"/>
        <rFont val="Calibri"/>
        <family val="2"/>
        <charset val="238"/>
        <scheme val="minor"/>
      </rPr>
      <t>C.210b</t>
    </r>
  </si>
  <si>
    <r>
      <rPr>
        <sz val="11"/>
        <color rgb="FF030303"/>
        <rFont val="Calibri"/>
        <family val="2"/>
        <charset val="238"/>
        <scheme val="minor"/>
      </rPr>
      <t>C</t>
    </r>
    <r>
      <rPr>
        <sz val="11"/>
        <color rgb="FF484848"/>
        <rFont val="Calibri"/>
        <family val="2"/>
        <charset val="238"/>
        <scheme val="minor"/>
      </rPr>
      <t>.</t>
    </r>
    <r>
      <rPr>
        <sz val="11"/>
        <color rgb="FF030303"/>
        <rFont val="Calibri"/>
        <family val="2"/>
        <charset val="238"/>
        <scheme val="minor"/>
      </rPr>
      <t>211</t>
    </r>
  </si>
  <si>
    <r>
      <rPr>
        <sz val="11"/>
        <color rgb="FF010101"/>
        <rFont val="Calibri"/>
        <family val="2"/>
        <charset val="238"/>
        <scheme val="minor"/>
      </rPr>
      <t>C</t>
    </r>
    <r>
      <rPr>
        <sz val="11"/>
        <color rgb="FF2A2A2A"/>
        <rFont val="Calibri"/>
        <family val="2"/>
        <charset val="238"/>
        <scheme val="minor"/>
      </rPr>
      <t>.</t>
    </r>
    <r>
      <rPr>
        <sz val="11"/>
        <color rgb="FF010101"/>
        <rFont val="Calibri"/>
        <family val="2"/>
        <charset val="238"/>
        <scheme val="minor"/>
      </rPr>
      <t>307</t>
    </r>
  </si>
  <si>
    <r>
      <rPr>
        <sz val="11"/>
        <color rgb="FF010101"/>
        <rFont val="Calibri"/>
        <family val="2"/>
        <charset val="238"/>
        <scheme val="minor"/>
      </rPr>
      <t>P20</t>
    </r>
  </si>
  <si>
    <r>
      <rPr>
        <sz val="11"/>
        <color rgb="FF010101"/>
        <rFont val="Calibri"/>
        <family val="2"/>
        <charset val="238"/>
        <scheme val="minor"/>
      </rPr>
      <t>A.002</t>
    </r>
  </si>
  <si>
    <r>
      <rPr>
        <sz val="11"/>
        <color rgb="FF010101"/>
        <rFont val="Calibri"/>
        <family val="2"/>
        <charset val="238"/>
        <scheme val="minor"/>
      </rPr>
      <t>A.003</t>
    </r>
  </si>
  <si>
    <r>
      <rPr>
        <sz val="11"/>
        <color rgb="FF010101"/>
        <rFont val="Calibri"/>
        <family val="2"/>
        <charset val="238"/>
        <scheme val="minor"/>
      </rPr>
      <t>A.028</t>
    </r>
  </si>
  <si>
    <r>
      <rPr>
        <sz val="11"/>
        <color rgb="FF010101"/>
        <rFont val="Calibri"/>
        <family val="2"/>
        <charset val="238"/>
        <scheme val="minor"/>
      </rPr>
      <t>TRAFO SZK</t>
    </r>
  </si>
  <si>
    <r>
      <rPr>
        <sz val="11"/>
        <color rgb="FF010101"/>
        <rFont val="Calibri"/>
        <family val="2"/>
        <charset val="238"/>
        <scheme val="minor"/>
      </rPr>
      <t>A.029</t>
    </r>
  </si>
  <si>
    <r>
      <rPr>
        <sz val="11"/>
        <color rgb="FF010101"/>
        <rFont val="Calibri"/>
        <family val="2"/>
        <charset val="238"/>
        <scheme val="minor"/>
      </rPr>
      <t>TRAFO EON 2x</t>
    </r>
  </si>
  <si>
    <r>
      <rPr>
        <sz val="11"/>
        <color rgb="FF010101"/>
        <rFont val="Calibri"/>
        <family val="2"/>
        <charset val="238"/>
        <scheme val="minor"/>
      </rPr>
      <t>A.032</t>
    </r>
  </si>
  <si>
    <r>
      <rPr>
        <sz val="11"/>
        <color rgb="FF010101"/>
        <rFont val="Calibri"/>
        <family val="2"/>
        <charset val="238"/>
        <scheme val="minor"/>
      </rPr>
      <t>VÝTAHOVÁ PLOŠINA PRO ODPADY</t>
    </r>
  </si>
  <si>
    <r>
      <rPr>
        <sz val="11"/>
        <color rgb="FF010101"/>
        <rFont val="Calibri"/>
        <family val="2"/>
        <charset val="238"/>
        <scheme val="minor"/>
      </rPr>
      <t>B</t>
    </r>
    <r>
      <rPr>
        <sz val="11"/>
        <color rgb="FF232323"/>
        <rFont val="Calibri"/>
        <family val="2"/>
        <charset val="238"/>
        <scheme val="minor"/>
      </rPr>
      <t>.</t>
    </r>
    <r>
      <rPr>
        <sz val="11"/>
        <color rgb="FF010101"/>
        <rFont val="Calibri"/>
        <family val="2"/>
        <charset val="238"/>
        <scheme val="minor"/>
      </rPr>
      <t>002</t>
    </r>
  </si>
  <si>
    <r>
      <rPr>
        <sz val="11"/>
        <color rgb="FF010101"/>
        <rFont val="Calibri"/>
        <family val="2"/>
        <charset val="238"/>
        <scheme val="minor"/>
      </rPr>
      <t>B.003</t>
    </r>
  </si>
  <si>
    <r>
      <rPr>
        <sz val="11"/>
        <color rgb="FF010101"/>
        <rFont val="Calibri"/>
        <family val="2"/>
        <charset val="238"/>
        <scheme val="minor"/>
      </rPr>
      <t>B</t>
    </r>
    <r>
      <rPr>
        <sz val="11"/>
        <color rgb="FF484848"/>
        <rFont val="Calibri"/>
        <family val="2"/>
        <charset val="238"/>
        <scheme val="minor"/>
      </rPr>
      <t>.</t>
    </r>
    <r>
      <rPr>
        <sz val="11"/>
        <color rgb="FF010101"/>
        <rFont val="Calibri"/>
        <family val="2"/>
        <charset val="238"/>
        <scheme val="minor"/>
      </rPr>
      <t>012</t>
    </r>
  </si>
  <si>
    <r>
      <rPr>
        <sz val="11"/>
        <color rgb="FF010101"/>
        <rFont val="Calibri"/>
        <family val="2"/>
        <charset val="238"/>
        <scheme val="minor"/>
      </rPr>
      <t>GASTRO VÝTAH</t>
    </r>
  </si>
  <si>
    <r>
      <rPr>
        <sz val="11"/>
        <color rgb="FF010101"/>
        <rFont val="Calibri"/>
        <family val="2"/>
        <charset val="238"/>
        <scheme val="minor"/>
      </rPr>
      <t>C</t>
    </r>
    <r>
      <rPr>
        <sz val="11"/>
        <color rgb="FF525252"/>
        <rFont val="Calibri"/>
        <family val="2"/>
        <charset val="238"/>
        <scheme val="minor"/>
      </rPr>
      <t>.</t>
    </r>
    <r>
      <rPr>
        <sz val="11"/>
        <color rgb="FF010101"/>
        <rFont val="Calibri"/>
        <family val="2"/>
        <charset val="238"/>
        <scheme val="minor"/>
      </rPr>
      <t>002</t>
    </r>
  </si>
  <si>
    <r>
      <rPr>
        <sz val="11"/>
        <color rgb="FF010101"/>
        <rFont val="Calibri"/>
        <family val="2"/>
        <charset val="238"/>
        <scheme val="minor"/>
      </rPr>
      <t>C</t>
    </r>
    <r>
      <rPr>
        <sz val="11"/>
        <color rgb="FF525252"/>
        <rFont val="Calibri"/>
        <family val="2"/>
        <charset val="238"/>
        <scheme val="minor"/>
      </rPr>
      <t>.</t>
    </r>
    <r>
      <rPr>
        <sz val="11"/>
        <color rgb="FF010101"/>
        <rFont val="Calibri"/>
        <family val="2"/>
        <charset val="238"/>
        <scheme val="minor"/>
      </rPr>
      <t>003</t>
    </r>
  </si>
  <si>
    <r>
      <rPr>
        <sz val="11"/>
        <color rgb="FF010101"/>
        <rFont val="Calibri"/>
        <family val="2"/>
        <charset val="238"/>
        <scheme val="minor"/>
      </rPr>
      <t>A.034a</t>
    </r>
  </si>
  <si>
    <r>
      <rPr>
        <sz val="11"/>
        <color rgb="FF010101"/>
        <rFont val="Calibri"/>
        <family val="2"/>
        <charset val="238"/>
        <scheme val="minor"/>
      </rPr>
      <t>VZT+DIESEL SÁNÍ-ANGL. DVOREK</t>
    </r>
  </si>
  <si>
    <r>
      <rPr>
        <sz val="11"/>
        <color rgb="FF010101"/>
        <rFont val="Calibri"/>
        <family val="2"/>
        <charset val="238"/>
        <scheme val="minor"/>
      </rPr>
      <t>T1</t>
    </r>
    <r>
      <rPr>
        <sz val="11"/>
        <color rgb="FF282828"/>
        <rFont val="Calibri"/>
        <family val="2"/>
        <charset val="238"/>
        <scheme val="minor"/>
      </rPr>
      <t>/oce</t>
    </r>
    <r>
      <rPr>
        <sz val="11"/>
        <color rgb="FF010101"/>
        <rFont val="Calibri"/>
        <family val="2"/>
        <charset val="238"/>
        <scheme val="minor"/>
      </rPr>
      <t xml:space="preserve">lový </t>
    </r>
    <r>
      <rPr>
        <sz val="11"/>
        <color rgb="FF111111"/>
        <rFont val="Calibri"/>
        <family val="2"/>
        <charset val="238"/>
        <scheme val="minor"/>
      </rPr>
      <t>pororošt</t>
    </r>
  </si>
  <si>
    <r>
      <rPr>
        <sz val="11"/>
        <color rgb="FF010101"/>
        <rFont val="Calibri"/>
        <family val="2"/>
        <charset val="238"/>
        <scheme val="minor"/>
      </rPr>
      <t>A.034b</t>
    </r>
  </si>
  <si>
    <r>
      <rPr>
        <sz val="11"/>
        <color rgb="FF010101"/>
        <rFont val="Calibri"/>
        <family val="2"/>
        <charset val="238"/>
        <scheme val="minor"/>
      </rPr>
      <t>DIESEL VÝDECH-ANGL. DVOREK</t>
    </r>
  </si>
  <si>
    <r>
      <rPr>
        <sz val="11"/>
        <color rgb="FF010101"/>
        <rFont val="Calibri"/>
        <family val="2"/>
        <charset val="238"/>
        <scheme val="minor"/>
      </rPr>
      <t>T1</t>
    </r>
    <r>
      <rPr>
        <sz val="11"/>
        <color rgb="FF282828"/>
        <rFont val="Calibri"/>
        <family val="2"/>
        <charset val="238"/>
        <scheme val="minor"/>
      </rPr>
      <t>/oce</t>
    </r>
    <r>
      <rPr>
        <sz val="11"/>
        <color rgb="FF010101"/>
        <rFont val="Calibri"/>
        <family val="2"/>
        <charset val="238"/>
        <scheme val="minor"/>
      </rPr>
      <t>lový pororošt</t>
    </r>
  </si>
  <si>
    <r>
      <rPr>
        <sz val="11"/>
        <color rgb="FF010101"/>
        <rFont val="Calibri"/>
        <family val="2"/>
        <charset val="238"/>
        <scheme val="minor"/>
      </rPr>
      <t>A.034c</t>
    </r>
  </si>
  <si>
    <r>
      <rPr>
        <sz val="11"/>
        <color rgb="FF010101"/>
        <rFont val="Calibri"/>
        <family val="2"/>
        <charset val="238"/>
        <scheme val="minor"/>
      </rPr>
      <t>DIESEL SÁNÍ-ANGL. DVOREK</t>
    </r>
  </si>
  <si>
    <r>
      <rPr>
        <sz val="11"/>
        <color rgb="FF010101"/>
        <rFont val="Calibri"/>
        <family val="2"/>
        <charset val="238"/>
        <scheme val="minor"/>
      </rPr>
      <t>C</t>
    </r>
    <r>
      <rPr>
        <sz val="11"/>
        <color rgb="FF3D3D3D"/>
        <rFont val="Calibri"/>
        <family val="2"/>
        <charset val="238"/>
        <scheme val="minor"/>
      </rPr>
      <t>.</t>
    </r>
    <r>
      <rPr>
        <sz val="11"/>
        <color rgb="FF010101"/>
        <rFont val="Calibri"/>
        <family val="2"/>
        <charset val="238"/>
        <scheme val="minor"/>
      </rPr>
      <t>021</t>
    </r>
  </si>
  <si>
    <r>
      <rPr>
        <sz val="11"/>
        <color rgb="FF010101"/>
        <rFont val="Calibri"/>
        <family val="2"/>
        <charset val="238"/>
        <scheme val="minor"/>
      </rPr>
      <t>VZT KOMORA</t>
    </r>
  </si>
  <si>
    <r>
      <rPr>
        <sz val="11"/>
        <color rgb="FF010101"/>
        <rFont val="Calibri"/>
        <family val="2"/>
        <charset val="238"/>
        <scheme val="minor"/>
      </rPr>
      <t>T1</t>
    </r>
    <r>
      <rPr>
        <sz val="11"/>
        <color rgb="FF232323"/>
        <rFont val="Calibri"/>
        <family val="2"/>
        <charset val="238"/>
        <scheme val="minor"/>
      </rPr>
      <t>/oce</t>
    </r>
    <r>
      <rPr>
        <sz val="11"/>
        <color rgb="FF010101"/>
        <rFont val="Calibri"/>
        <family val="2"/>
        <charset val="238"/>
        <scheme val="minor"/>
      </rPr>
      <t xml:space="preserve">lový </t>
    </r>
    <r>
      <rPr>
        <sz val="11"/>
        <color rgb="FF0F0F0F"/>
        <rFont val="Calibri"/>
        <family val="2"/>
        <charset val="238"/>
        <scheme val="minor"/>
      </rPr>
      <t>pororošt</t>
    </r>
  </si>
  <si>
    <r>
      <rPr>
        <sz val="11"/>
        <color rgb="FF1A1A1A"/>
        <rFont val="Calibri"/>
        <family val="2"/>
        <charset val="238"/>
        <scheme val="minor"/>
      </rPr>
      <t>B.</t>
    </r>
    <r>
      <rPr>
        <sz val="11"/>
        <rFont val="Calibri"/>
        <family val="2"/>
        <charset val="238"/>
        <scheme val="minor"/>
      </rPr>
      <t>1</t>
    </r>
    <r>
      <rPr>
        <sz val="11"/>
        <color rgb="FF363636"/>
        <rFont val="Calibri"/>
        <family val="2"/>
        <charset val="238"/>
        <scheme val="minor"/>
      </rPr>
      <t>52</t>
    </r>
  </si>
  <si>
    <r>
      <rPr>
        <sz val="11"/>
        <color rgb="FF1A1A1A"/>
        <rFont val="Calibri"/>
        <family val="2"/>
        <charset val="238"/>
        <scheme val="minor"/>
      </rPr>
      <t>VZ</t>
    </r>
    <r>
      <rPr>
        <sz val="11"/>
        <rFont val="Calibri"/>
        <family val="2"/>
        <charset val="238"/>
        <scheme val="minor"/>
      </rPr>
      <t xml:space="preserve">T </t>
    </r>
    <r>
      <rPr>
        <sz val="11"/>
        <color rgb="FF1A1A1A"/>
        <rFont val="Calibri"/>
        <family val="2"/>
        <charset val="238"/>
        <scheme val="minor"/>
      </rPr>
      <t>KA</t>
    </r>
    <r>
      <rPr>
        <sz val="11"/>
        <rFont val="Calibri"/>
        <family val="2"/>
        <charset val="238"/>
        <scheme val="minor"/>
      </rPr>
      <t>N</t>
    </r>
    <r>
      <rPr>
        <sz val="11"/>
        <color rgb="FF1A1A1A"/>
        <rFont val="Calibri"/>
        <family val="2"/>
        <charset val="238"/>
        <scheme val="minor"/>
      </rPr>
      <t>Á</t>
    </r>
    <r>
      <rPr>
        <sz val="11"/>
        <rFont val="Calibri"/>
        <family val="2"/>
        <charset val="238"/>
        <scheme val="minor"/>
      </rPr>
      <t>L</t>
    </r>
  </si>
  <si>
    <r>
      <rPr>
        <sz val="11"/>
        <color rgb="FF363636"/>
        <rFont val="Calibri"/>
        <family val="2"/>
        <charset val="238"/>
        <scheme val="minor"/>
      </rPr>
      <t>P22</t>
    </r>
  </si>
  <si>
    <r>
      <rPr>
        <sz val="11"/>
        <color rgb="FF363636"/>
        <rFont val="Calibri"/>
        <family val="2"/>
        <charset val="238"/>
        <scheme val="minor"/>
      </rPr>
      <t>T1</t>
    </r>
  </si>
  <si>
    <r>
      <rPr>
        <sz val="11"/>
        <color rgb="FF010101"/>
        <rFont val="Calibri"/>
        <family val="2"/>
        <charset val="238"/>
        <scheme val="minor"/>
      </rPr>
      <t>A.027</t>
    </r>
  </si>
  <si>
    <r>
      <rPr>
        <sz val="11"/>
        <color rgb="FF010101"/>
        <rFont val="Calibri"/>
        <family val="2"/>
        <charset val="238"/>
        <scheme val="minor"/>
      </rPr>
      <t>A.030</t>
    </r>
  </si>
  <si>
    <r>
      <rPr>
        <sz val="11"/>
        <color rgb="FF010101"/>
        <rFont val="Calibri"/>
        <family val="2"/>
        <charset val="238"/>
        <scheme val="minor"/>
      </rPr>
      <t>VN ROZVODNA</t>
    </r>
  </si>
  <si>
    <r>
      <rPr>
        <sz val="11"/>
        <color rgb="FF010101"/>
        <rFont val="Calibri"/>
        <family val="2"/>
        <charset val="238"/>
        <scheme val="minor"/>
      </rPr>
      <t>A.031</t>
    </r>
  </si>
  <si>
    <r>
      <rPr>
        <sz val="11"/>
        <color rgb="FF010101"/>
        <rFont val="Calibri"/>
        <family val="2"/>
        <charset val="238"/>
        <scheme val="minor"/>
      </rPr>
      <t>ODPADY</t>
    </r>
  </si>
  <si>
    <r>
      <rPr>
        <sz val="11"/>
        <color rgb="FF010101"/>
        <rFont val="Calibri"/>
        <family val="2"/>
        <charset val="238"/>
        <scheme val="minor"/>
      </rPr>
      <t>A.033</t>
    </r>
  </si>
  <si>
    <r>
      <rPr>
        <sz val="11"/>
        <color rgb="FF010101"/>
        <rFont val="Calibri"/>
        <family val="2"/>
        <charset val="238"/>
        <scheme val="minor"/>
      </rPr>
      <t>SCHODIŠTĚ NA TERÉN</t>
    </r>
  </si>
  <si>
    <r>
      <rPr>
        <sz val="11"/>
        <color rgb="FF111111"/>
        <rFont val="Calibri"/>
        <family val="2"/>
        <charset val="238"/>
        <scheme val="minor"/>
      </rPr>
      <t>ocelový pororošt</t>
    </r>
  </si>
  <si>
    <r>
      <rPr>
        <sz val="11"/>
        <color rgb="FF030303"/>
        <rFont val="Calibri"/>
        <family val="2"/>
        <charset val="238"/>
        <scheme val="minor"/>
      </rPr>
      <t>A.101</t>
    </r>
  </si>
  <si>
    <r>
      <rPr>
        <sz val="11"/>
        <color rgb="FF030303"/>
        <rFont val="Calibri"/>
        <family val="2"/>
        <charset val="238"/>
        <scheme val="minor"/>
      </rPr>
      <t>CHÚC</t>
    </r>
  </si>
  <si>
    <r>
      <rPr>
        <sz val="11"/>
        <color rgb="FF030303"/>
        <rFont val="Calibri"/>
        <family val="2"/>
        <charset val="238"/>
        <scheme val="minor"/>
      </rPr>
      <t>T6</t>
    </r>
  </si>
  <si>
    <r>
      <rPr>
        <sz val="11"/>
        <color rgb="FF030303"/>
        <rFont val="Calibri"/>
        <family val="2"/>
        <charset val="238"/>
        <scheme val="minor"/>
      </rPr>
      <t>A</t>
    </r>
    <r>
      <rPr>
        <sz val="11"/>
        <color rgb="FF262626"/>
        <rFont val="Calibri"/>
        <family val="2"/>
        <charset val="238"/>
        <scheme val="minor"/>
      </rPr>
      <t>.</t>
    </r>
    <r>
      <rPr>
        <sz val="11"/>
        <color rgb="FF030303"/>
        <rFont val="Calibri"/>
        <family val="2"/>
        <charset val="238"/>
        <scheme val="minor"/>
      </rPr>
      <t>106</t>
    </r>
  </si>
  <si>
    <r>
      <rPr>
        <sz val="11"/>
        <color rgb="FF030303"/>
        <rFont val="Calibri"/>
        <family val="2"/>
        <charset val="238"/>
        <scheme val="minor"/>
      </rPr>
      <t>RECEPCE</t>
    </r>
  </si>
  <si>
    <r>
      <rPr>
        <sz val="11"/>
        <color rgb="FF030303"/>
        <rFont val="Calibri"/>
        <family val="2"/>
        <charset val="238"/>
        <scheme val="minor"/>
      </rPr>
      <t>A.107</t>
    </r>
  </si>
  <si>
    <r>
      <rPr>
        <sz val="11"/>
        <color rgb="FF1A1A1A"/>
        <rFont val="Calibri"/>
        <family val="2"/>
        <charset val="238"/>
        <scheme val="minor"/>
      </rPr>
      <t>B</t>
    </r>
    <r>
      <rPr>
        <sz val="11"/>
        <color rgb="FF363636"/>
        <rFont val="Calibri"/>
        <family val="2"/>
        <charset val="238"/>
        <scheme val="minor"/>
      </rPr>
      <t>.</t>
    </r>
    <r>
      <rPr>
        <sz val="11"/>
        <color rgb="FF1A1A1A"/>
        <rFont val="Calibri"/>
        <family val="2"/>
        <charset val="238"/>
        <scheme val="minor"/>
      </rPr>
      <t>10</t>
    </r>
    <r>
      <rPr>
        <sz val="11"/>
        <rFont val="Calibri"/>
        <family val="2"/>
        <charset val="238"/>
        <scheme val="minor"/>
      </rPr>
      <t>1</t>
    </r>
  </si>
  <si>
    <r>
      <rPr>
        <sz val="11"/>
        <color rgb="FF1A1A1A"/>
        <rFont val="Calibri"/>
        <family val="2"/>
        <charset val="238"/>
        <scheme val="minor"/>
      </rPr>
      <t>C</t>
    </r>
    <r>
      <rPr>
        <sz val="11"/>
        <rFont val="Calibri"/>
        <family val="2"/>
        <charset val="238"/>
        <scheme val="minor"/>
      </rPr>
      <t>H</t>
    </r>
    <r>
      <rPr>
        <sz val="11"/>
        <color rgb="FF1A1A1A"/>
        <rFont val="Calibri"/>
        <family val="2"/>
        <charset val="238"/>
        <scheme val="minor"/>
      </rPr>
      <t>ÚC</t>
    </r>
  </si>
  <si>
    <r>
      <rPr>
        <sz val="11"/>
        <color rgb="FF1A1A1A"/>
        <rFont val="Calibri"/>
        <family val="2"/>
        <charset val="238"/>
        <scheme val="minor"/>
      </rPr>
      <t>26</t>
    </r>
    <r>
      <rPr>
        <sz val="11"/>
        <rFont val="Calibri"/>
        <family val="2"/>
        <charset val="238"/>
        <scheme val="minor"/>
      </rPr>
      <t>1</t>
    </r>
    <r>
      <rPr>
        <sz val="11"/>
        <color rgb="FF1A1A1A"/>
        <rFont val="Calibri"/>
        <family val="2"/>
        <charset val="238"/>
        <scheme val="minor"/>
      </rPr>
      <t>0, 3000</t>
    </r>
  </si>
  <si>
    <r>
      <rPr>
        <sz val="11"/>
        <color rgb="FF363636"/>
        <rFont val="Calibri"/>
        <family val="2"/>
        <charset val="238"/>
        <scheme val="minor"/>
      </rPr>
      <t>P3</t>
    </r>
  </si>
  <si>
    <r>
      <rPr>
        <sz val="11"/>
        <color rgb="FF4B4B4B"/>
        <rFont val="Calibri"/>
        <family val="2"/>
        <charset val="238"/>
        <scheme val="minor"/>
      </rPr>
      <t>T6</t>
    </r>
  </si>
  <si>
    <r>
      <rPr>
        <sz val="11"/>
        <color rgb="FF030303"/>
        <rFont val="Calibri"/>
        <family val="2"/>
        <charset val="238"/>
        <scheme val="minor"/>
      </rPr>
      <t>C.101</t>
    </r>
  </si>
  <si>
    <r>
      <rPr>
        <sz val="11"/>
        <color rgb="FF030303"/>
        <rFont val="Calibri"/>
        <family val="2"/>
        <charset val="238"/>
        <scheme val="minor"/>
      </rPr>
      <t>2610, 3000</t>
    </r>
  </si>
  <si>
    <r>
      <rPr>
        <sz val="11"/>
        <color rgb="FF030303"/>
        <rFont val="Calibri"/>
        <family val="2"/>
        <charset val="238"/>
        <scheme val="minor"/>
      </rPr>
      <t>C.104</t>
    </r>
  </si>
  <si>
    <r>
      <rPr>
        <sz val="11"/>
        <color rgb="FF030303"/>
        <rFont val="Calibri"/>
        <family val="2"/>
        <charset val="238"/>
        <scheme val="minor"/>
      </rPr>
      <t>P</t>
    </r>
    <r>
      <rPr>
        <sz val="11"/>
        <color rgb="FF242424"/>
        <rFont val="Calibri"/>
        <family val="2"/>
        <charset val="238"/>
        <scheme val="minor"/>
      </rPr>
      <t>3</t>
    </r>
  </si>
  <si>
    <r>
      <rPr>
        <sz val="11"/>
        <color rgb="FF010101"/>
        <rFont val="Calibri"/>
        <family val="2"/>
        <charset val="238"/>
        <scheme val="minor"/>
      </rPr>
      <t>A.201</t>
    </r>
  </si>
  <si>
    <r>
      <rPr>
        <sz val="11"/>
        <color rgb="FF010101"/>
        <rFont val="Calibri"/>
        <family val="2"/>
        <charset val="238"/>
        <scheme val="minor"/>
      </rPr>
      <t>P3</t>
    </r>
  </si>
  <si>
    <r>
      <rPr>
        <sz val="11"/>
        <color rgb="FF010101"/>
        <rFont val="Calibri"/>
        <family val="2"/>
        <charset val="238"/>
        <scheme val="minor"/>
      </rPr>
      <t>T6</t>
    </r>
  </si>
  <si>
    <r>
      <rPr>
        <sz val="11"/>
        <color rgb="FF010101"/>
        <rFont val="Calibri"/>
        <family val="2"/>
        <charset val="238"/>
        <scheme val="minor"/>
      </rPr>
      <t>B</t>
    </r>
    <r>
      <rPr>
        <sz val="11"/>
        <color rgb="FF525252"/>
        <rFont val="Calibri"/>
        <family val="2"/>
        <charset val="238"/>
        <scheme val="minor"/>
      </rPr>
      <t>.</t>
    </r>
    <r>
      <rPr>
        <sz val="11"/>
        <color rgb="FF010101"/>
        <rFont val="Calibri"/>
        <family val="2"/>
        <charset val="238"/>
        <scheme val="minor"/>
      </rPr>
      <t>201</t>
    </r>
  </si>
  <si>
    <r>
      <rPr>
        <sz val="11"/>
        <color rgb="FF030303"/>
        <rFont val="Calibri"/>
        <family val="2"/>
        <charset val="238"/>
        <scheme val="minor"/>
      </rPr>
      <t>C</t>
    </r>
    <r>
      <rPr>
        <sz val="11"/>
        <color rgb="FF2A2A2A"/>
        <rFont val="Calibri"/>
        <family val="2"/>
        <charset val="238"/>
        <scheme val="minor"/>
      </rPr>
      <t>.</t>
    </r>
    <r>
      <rPr>
        <sz val="11"/>
        <color rgb="FF030303"/>
        <rFont val="Calibri"/>
        <family val="2"/>
        <charset val="238"/>
        <scheme val="minor"/>
      </rPr>
      <t>201</t>
    </r>
  </si>
  <si>
    <r>
      <rPr>
        <sz val="11"/>
        <color rgb="FF030303"/>
        <rFont val="Calibri"/>
        <family val="2"/>
        <charset val="238"/>
        <scheme val="minor"/>
      </rPr>
      <t>P</t>
    </r>
    <r>
      <rPr>
        <sz val="11"/>
        <color rgb="FF1C1C1C"/>
        <rFont val="Calibri"/>
        <family val="2"/>
        <charset val="238"/>
        <scheme val="minor"/>
      </rPr>
      <t>3</t>
    </r>
  </si>
  <si>
    <r>
      <rPr>
        <sz val="11"/>
        <color rgb="FF030303"/>
        <rFont val="Calibri"/>
        <family val="2"/>
        <charset val="238"/>
        <scheme val="minor"/>
      </rPr>
      <t>A.301</t>
    </r>
  </si>
  <si>
    <r>
      <rPr>
        <sz val="11"/>
        <color rgb="FF010101"/>
        <rFont val="Calibri"/>
        <family val="2"/>
        <charset val="238"/>
        <scheme val="minor"/>
      </rPr>
      <t>B.301</t>
    </r>
  </si>
  <si>
    <r>
      <rPr>
        <sz val="11"/>
        <color rgb="FF010101"/>
        <rFont val="Calibri"/>
        <family val="2"/>
        <charset val="238"/>
        <scheme val="minor"/>
      </rPr>
      <t>C</t>
    </r>
    <r>
      <rPr>
        <sz val="11"/>
        <color rgb="FF424242"/>
        <rFont val="Calibri"/>
        <family val="2"/>
        <charset val="238"/>
        <scheme val="minor"/>
      </rPr>
      <t>.</t>
    </r>
    <r>
      <rPr>
        <sz val="11"/>
        <color rgb="FF111111"/>
        <rFont val="Calibri"/>
        <family val="2"/>
        <charset val="238"/>
        <scheme val="minor"/>
      </rPr>
      <t>301</t>
    </r>
  </si>
  <si>
    <r>
      <rPr>
        <sz val="11"/>
        <color rgb="FF010101"/>
        <rFont val="Calibri"/>
        <family val="2"/>
        <charset val="238"/>
        <scheme val="minor"/>
      </rPr>
      <t>A.401</t>
    </r>
  </si>
  <si>
    <r>
      <rPr>
        <sz val="11"/>
        <color rgb="FF010101"/>
        <rFont val="Calibri"/>
        <family val="2"/>
        <charset val="238"/>
        <scheme val="minor"/>
      </rPr>
      <t>B.401</t>
    </r>
  </si>
  <si>
    <r>
      <rPr>
        <sz val="11"/>
        <color rgb="FF010101"/>
        <rFont val="Calibri"/>
        <family val="2"/>
        <charset val="238"/>
        <scheme val="minor"/>
      </rPr>
      <t>C.401</t>
    </r>
  </si>
  <si>
    <r>
      <rPr>
        <sz val="11"/>
        <color rgb="FF010101"/>
        <rFont val="Calibri"/>
        <family val="2"/>
        <charset val="238"/>
        <scheme val="minor"/>
      </rPr>
      <t>P</t>
    </r>
    <r>
      <rPr>
        <sz val="11"/>
        <color rgb="FF282828"/>
        <rFont val="Calibri"/>
        <family val="2"/>
        <charset val="238"/>
        <scheme val="minor"/>
      </rPr>
      <t>3</t>
    </r>
  </si>
  <si>
    <r>
      <rPr>
        <sz val="11"/>
        <color rgb="FF030303"/>
        <rFont val="Calibri"/>
        <family val="2"/>
        <charset val="238"/>
        <scheme val="minor"/>
      </rPr>
      <t>A</t>
    </r>
    <r>
      <rPr>
        <sz val="11"/>
        <color rgb="FF525252"/>
        <rFont val="Calibri"/>
        <family val="2"/>
        <charset val="238"/>
        <scheme val="minor"/>
      </rPr>
      <t>.</t>
    </r>
    <r>
      <rPr>
        <sz val="11"/>
        <color rgb="FF030303"/>
        <rFont val="Calibri"/>
        <family val="2"/>
        <charset val="238"/>
        <scheme val="minor"/>
      </rPr>
      <t>114</t>
    </r>
  </si>
  <si>
    <r>
      <rPr>
        <sz val="11"/>
        <color rgb="FF030303"/>
        <rFont val="Calibri"/>
        <family val="2"/>
        <charset val="238"/>
        <scheme val="minor"/>
      </rPr>
      <t>REHABILITAČNÍ CVIČENÍ</t>
    </r>
  </si>
  <si>
    <r>
      <rPr>
        <sz val="11"/>
        <color rgb="FF030303"/>
        <rFont val="Calibri"/>
        <family val="2"/>
        <charset val="238"/>
        <scheme val="minor"/>
      </rPr>
      <t>A</t>
    </r>
    <r>
      <rPr>
        <sz val="11"/>
        <color rgb="FF424242"/>
        <rFont val="Calibri"/>
        <family val="2"/>
        <charset val="238"/>
        <scheme val="minor"/>
      </rPr>
      <t>.</t>
    </r>
    <r>
      <rPr>
        <sz val="11"/>
        <color rgb="FF030303"/>
        <rFont val="Calibri"/>
        <family val="2"/>
        <charset val="238"/>
        <scheme val="minor"/>
      </rPr>
      <t>115</t>
    </r>
  </si>
  <si>
    <r>
      <rPr>
        <sz val="11"/>
        <color rgb="FF030303"/>
        <rFont val="Calibri"/>
        <family val="2"/>
        <charset val="238"/>
        <scheme val="minor"/>
      </rPr>
      <t>TĚLOCVIČNA</t>
    </r>
  </si>
  <si>
    <r>
      <rPr>
        <sz val="11"/>
        <color rgb="FF030303"/>
        <rFont val="Calibri"/>
        <family val="2"/>
        <charset val="238"/>
        <scheme val="minor"/>
      </rPr>
      <t>A</t>
    </r>
    <r>
      <rPr>
        <sz val="11"/>
        <color rgb="FF424242"/>
        <rFont val="Calibri"/>
        <family val="2"/>
        <charset val="238"/>
        <scheme val="minor"/>
      </rPr>
      <t>.</t>
    </r>
    <r>
      <rPr>
        <sz val="11"/>
        <color rgb="FF030303"/>
        <rFont val="Calibri"/>
        <family val="2"/>
        <charset val="238"/>
        <scheme val="minor"/>
      </rPr>
      <t>116</t>
    </r>
  </si>
  <si>
    <r>
      <rPr>
        <sz val="11"/>
        <color rgb="FF030303"/>
        <rFont val="Calibri"/>
        <family val="2"/>
        <charset val="238"/>
        <scheme val="minor"/>
      </rPr>
      <t>FYZIKÁLNÍ TERAPIE</t>
    </r>
  </si>
  <si>
    <r>
      <rPr>
        <sz val="11"/>
        <color rgb="FF030303"/>
        <rFont val="Calibri"/>
        <family val="2"/>
        <charset val="238"/>
        <scheme val="minor"/>
      </rPr>
      <t>A</t>
    </r>
    <r>
      <rPr>
        <sz val="11"/>
        <color rgb="FF424242"/>
        <rFont val="Calibri"/>
        <family val="2"/>
        <charset val="238"/>
        <scheme val="minor"/>
      </rPr>
      <t>.</t>
    </r>
    <r>
      <rPr>
        <sz val="11"/>
        <color rgb="FF030303"/>
        <rFont val="Calibri"/>
        <family val="2"/>
        <charset val="238"/>
        <scheme val="minor"/>
      </rPr>
      <t>117</t>
    </r>
  </si>
  <si>
    <r>
      <rPr>
        <sz val="11"/>
        <color rgb="FF030303"/>
        <rFont val="Calibri"/>
        <family val="2"/>
        <charset val="238"/>
        <scheme val="minor"/>
      </rPr>
      <t>C</t>
    </r>
    <r>
      <rPr>
        <sz val="11"/>
        <color rgb="FF383838"/>
        <rFont val="Calibri"/>
        <family val="2"/>
        <charset val="238"/>
        <scheme val="minor"/>
      </rPr>
      <t>.</t>
    </r>
    <r>
      <rPr>
        <sz val="11"/>
        <color rgb="FF030303"/>
        <rFont val="Calibri"/>
        <family val="2"/>
        <charset val="238"/>
        <scheme val="minor"/>
      </rPr>
      <t>130</t>
    </r>
  </si>
  <si>
    <r>
      <rPr>
        <sz val="11"/>
        <color rgb="FF030303"/>
        <rFont val="Calibri"/>
        <family val="2"/>
        <charset val="238"/>
        <scheme val="minor"/>
      </rPr>
      <t>ZASEDACÍ MÍSTNOST</t>
    </r>
  </si>
  <si>
    <r>
      <rPr>
        <sz val="11"/>
        <color rgb="FF030303"/>
        <rFont val="Calibri"/>
        <family val="2"/>
        <charset val="238"/>
        <scheme val="minor"/>
      </rPr>
      <t>H</t>
    </r>
    <r>
      <rPr>
        <sz val="11"/>
        <color rgb="FF444444"/>
        <rFont val="Calibri"/>
        <family val="2"/>
        <charset val="238"/>
        <scheme val="minor"/>
      </rPr>
      <t>.</t>
    </r>
    <r>
      <rPr>
        <sz val="11"/>
        <color rgb="FF030303"/>
        <rFont val="Calibri"/>
        <family val="2"/>
        <charset val="238"/>
        <scheme val="minor"/>
      </rPr>
      <t>117</t>
    </r>
  </si>
  <si>
    <r>
      <rPr>
        <sz val="11"/>
        <color rgb="FF030303"/>
        <rFont val="Calibri"/>
        <family val="2"/>
        <charset val="238"/>
        <scheme val="minor"/>
      </rPr>
      <t>SLUŽBY-PEDIKÚRA</t>
    </r>
    <r>
      <rPr>
        <sz val="11"/>
        <color rgb="FF232323"/>
        <rFont val="Calibri"/>
        <family val="2"/>
        <charset val="238"/>
        <scheme val="minor"/>
      </rPr>
      <t xml:space="preserve">, </t>
    </r>
    <r>
      <rPr>
        <sz val="11"/>
        <color rgb="FF030303"/>
        <rFont val="Calibri"/>
        <family val="2"/>
        <charset val="238"/>
        <scheme val="minor"/>
      </rPr>
      <t>HOLIČSTVÍ
KADEŘNICTVÍ</t>
    </r>
  </si>
  <si>
    <r>
      <rPr>
        <sz val="11"/>
        <color rgb="FF030303"/>
        <rFont val="Calibri"/>
        <family val="2"/>
        <charset val="238"/>
        <scheme val="minor"/>
      </rPr>
      <t>A</t>
    </r>
    <r>
      <rPr>
        <sz val="11"/>
        <color rgb="FF424242"/>
        <rFont val="Calibri"/>
        <family val="2"/>
        <charset val="238"/>
        <scheme val="minor"/>
      </rPr>
      <t>.</t>
    </r>
    <r>
      <rPr>
        <sz val="11"/>
        <color rgb="FF030303"/>
        <rFont val="Calibri"/>
        <family val="2"/>
        <charset val="238"/>
        <scheme val="minor"/>
      </rPr>
      <t>118</t>
    </r>
  </si>
  <si>
    <r>
      <rPr>
        <sz val="11"/>
        <color rgb="FF030303"/>
        <rFont val="Calibri"/>
        <family val="2"/>
        <charset val="238"/>
        <scheme val="minor"/>
      </rPr>
      <t>ŠATNA</t>
    </r>
  </si>
  <si>
    <r>
      <rPr>
        <sz val="11"/>
        <color rgb="FF030303"/>
        <rFont val="Calibri"/>
        <family val="2"/>
        <charset val="238"/>
        <scheme val="minor"/>
      </rPr>
      <t>P5</t>
    </r>
    <r>
      <rPr>
        <sz val="11"/>
        <rFont val="Calibri"/>
        <family val="2"/>
        <charset val="238"/>
        <scheme val="minor"/>
      </rPr>
      <t>a</t>
    </r>
  </si>
  <si>
    <r>
      <rPr>
        <sz val="11"/>
        <color rgb="FF030303"/>
        <rFont val="Calibri"/>
        <family val="2"/>
        <charset val="238"/>
        <scheme val="minor"/>
      </rPr>
      <t>A</t>
    </r>
    <r>
      <rPr>
        <sz val="11"/>
        <color rgb="FF606060"/>
        <rFont val="Calibri"/>
        <family val="2"/>
        <charset val="238"/>
        <scheme val="minor"/>
      </rPr>
      <t>.</t>
    </r>
    <r>
      <rPr>
        <sz val="11"/>
        <color rgb="FF030303"/>
        <rFont val="Calibri"/>
        <family val="2"/>
        <charset val="238"/>
        <scheme val="minor"/>
      </rPr>
      <t>119</t>
    </r>
  </si>
  <si>
    <r>
      <rPr>
        <sz val="11"/>
        <color rgb="FF030303"/>
        <rFont val="Calibri"/>
        <family val="2"/>
        <charset val="238"/>
        <scheme val="minor"/>
      </rPr>
      <t>KOUPELNA</t>
    </r>
  </si>
  <si>
    <r>
      <rPr>
        <sz val="11"/>
        <color rgb="FF030303"/>
        <rFont val="Calibri"/>
        <family val="2"/>
        <charset val="238"/>
        <scheme val="minor"/>
      </rPr>
      <t>A</t>
    </r>
    <r>
      <rPr>
        <sz val="11"/>
        <color rgb="FF525252"/>
        <rFont val="Calibri"/>
        <family val="2"/>
        <charset val="238"/>
        <scheme val="minor"/>
      </rPr>
      <t>.</t>
    </r>
    <r>
      <rPr>
        <sz val="11"/>
        <color rgb="FF030303"/>
        <rFont val="Calibri"/>
        <family val="2"/>
        <charset val="238"/>
        <scheme val="minor"/>
      </rPr>
      <t>120</t>
    </r>
  </si>
  <si>
    <r>
      <rPr>
        <sz val="11"/>
        <color rgb="FF030303"/>
        <rFont val="Calibri"/>
        <family val="2"/>
        <charset val="238"/>
        <scheme val="minor"/>
      </rPr>
      <t>VODOLÉČBA</t>
    </r>
  </si>
  <si>
    <r>
      <rPr>
        <sz val="11"/>
        <color rgb="FF030303"/>
        <rFont val="Calibri"/>
        <family val="2"/>
        <charset val="238"/>
        <scheme val="minor"/>
      </rPr>
      <t>A</t>
    </r>
    <r>
      <rPr>
        <sz val="11"/>
        <color rgb="FF525252"/>
        <rFont val="Calibri"/>
        <family val="2"/>
        <charset val="238"/>
        <scheme val="minor"/>
      </rPr>
      <t>.</t>
    </r>
    <r>
      <rPr>
        <sz val="11"/>
        <color rgb="FF030303"/>
        <rFont val="Calibri"/>
        <family val="2"/>
        <charset val="238"/>
        <scheme val="minor"/>
      </rPr>
      <t>121</t>
    </r>
  </si>
  <si>
    <r>
      <rPr>
        <sz val="11"/>
        <color rgb="FF030303"/>
        <rFont val="Calibri"/>
        <family val="2"/>
        <charset val="238"/>
        <scheme val="minor"/>
      </rPr>
      <t>PŘEDSÍŇ</t>
    </r>
  </si>
  <si>
    <r>
      <rPr>
        <sz val="11"/>
        <color rgb="FF030303"/>
        <rFont val="Calibri"/>
        <family val="2"/>
        <charset val="238"/>
        <scheme val="minor"/>
      </rPr>
      <t>A</t>
    </r>
    <r>
      <rPr>
        <sz val="11"/>
        <color rgb="FF424242"/>
        <rFont val="Calibri"/>
        <family val="2"/>
        <charset val="238"/>
        <scheme val="minor"/>
      </rPr>
      <t>.</t>
    </r>
    <r>
      <rPr>
        <sz val="11"/>
        <color rgb="FF030303"/>
        <rFont val="Calibri"/>
        <family val="2"/>
        <charset val="238"/>
        <scheme val="minor"/>
      </rPr>
      <t>122</t>
    </r>
  </si>
  <si>
    <r>
      <rPr>
        <sz val="11"/>
        <color rgb="FF030303"/>
        <rFont val="Calibri"/>
        <family val="2"/>
        <charset val="238"/>
        <scheme val="minor"/>
      </rPr>
      <t>WC PERSONÁL</t>
    </r>
  </si>
  <si>
    <r>
      <rPr>
        <sz val="11"/>
        <color rgb="FF030303"/>
        <rFont val="Calibri"/>
        <family val="2"/>
        <charset val="238"/>
        <scheme val="minor"/>
      </rPr>
      <t>A</t>
    </r>
    <r>
      <rPr>
        <sz val="11"/>
        <color rgb="FF424242"/>
        <rFont val="Calibri"/>
        <family val="2"/>
        <charset val="238"/>
        <scheme val="minor"/>
      </rPr>
      <t>.</t>
    </r>
    <r>
      <rPr>
        <sz val="11"/>
        <color rgb="FF030303"/>
        <rFont val="Calibri"/>
        <family val="2"/>
        <charset val="238"/>
        <scheme val="minor"/>
      </rPr>
      <t>123</t>
    </r>
  </si>
  <si>
    <r>
      <rPr>
        <sz val="11"/>
        <color rgb="FF030303"/>
        <rFont val="Calibri"/>
        <family val="2"/>
        <charset val="238"/>
        <scheme val="minor"/>
      </rPr>
      <t>A</t>
    </r>
    <r>
      <rPr>
        <sz val="11"/>
        <color rgb="FF424242"/>
        <rFont val="Calibri"/>
        <family val="2"/>
        <charset val="238"/>
        <scheme val="minor"/>
      </rPr>
      <t>.</t>
    </r>
    <r>
      <rPr>
        <sz val="11"/>
        <color rgb="FF030303"/>
        <rFont val="Calibri"/>
        <family val="2"/>
        <charset val="238"/>
        <scheme val="minor"/>
      </rPr>
      <t>124</t>
    </r>
  </si>
  <si>
    <r>
      <rPr>
        <sz val="11"/>
        <color rgb="FF030303"/>
        <rFont val="Calibri"/>
        <family val="2"/>
        <charset val="238"/>
        <scheme val="minor"/>
      </rPr>
      <t>WC INVALIDNÍ</t>
    </r>
  </si>
  <si>
    <r>
      <rPr>
        <sz val="11"/>
        <color rgb="FF030303"/>
        <rFont val="Calibri"/>
        <family val="2"/>
        <charset val="238"/>
        <scheme val="minor"/>
      </rPr>
      <t>A</t>
    </r>
    <r>
      <rPr>
        <sz val="11"/>
        <color rgb="FF424242"/>
        <rFont val="Calibri"/>
        <family val="2"/>
        <charset val="238"/>
        <scheme val="minor"/>
      </rPr>
      <t>.</t>
    </r>
    <r>
      <rPr>
        <sz val="11"/>
        <color rgb="FF030303"/>
        <rFont val="Calibri"/>
        <family val="2"/>
        <charset val="238"/>
        <scheme val="minor"/>
      </rPr>
      <t>125</t>
    </r>
  </si>
  <si>
    <r>
      <rPr>
        <sz val="11"/>
        <color rgb="FF030303"/>
        <rFont val="Calibri"/>
        <family val="2"/>
        <charset val="238"/>
        <scheme val="minor"/>
      </rPr>
      <t>ŠATNA MUŽI</t>
    </r>
  </si>
  <si>
    <r>
      <rPr>
        <sz val="11"/>
        <color rgb="FF030303"/>
        <rFont val="Calibri"/>
        <family val="2"/>
        <charset val="238"/>
        <scheme val="minor"/>
      </rPr>
      <t>A.126</t>
    </r>
  </si>
  <si>
    <r>
      <rPr>
        <sz val="11"/>
        <color rgb="FF030303"/>
        <rFont val="Calibri"/>
        <family val="2"/>
        <charset val="238"/>
        <scheme val="minor"/>
      </rPr>
      <t>KOUPELNA MUŽI</t>
    </r>
  </si>
  <si>
    <r>
      <rPr>
        <sz val="11"/>
        <color rgb="FF030303"/>
        <rFont val="Calibri"/>
        <family val="2"/>
        <charset val="238"/>
        <scheme val="minor"/>
      </rPr>
      <t>A</t>
    </r>
    <r>
      <rPr>
        <sz val="11"/>
        <color rgb="FF262626"/>
        <rFont val="Calibri"/>
        <family val="2"/>
        <charset val="238"/>
        <scheme val="minor"/>
      </rPr>
      <t>.</t>
    </r>
    <r>
      <rPr>
        <sz val="11"/>
        <color rgb="FF030303"/>
        <rFont val="Calibri"/>
        <family val="2"/>
        <charset val="238"/>
        <scheme val="minor"/>
      </rPr>
      <t>127</t>
    </r>
  </si>
  <si>
    <r>
      <rPr>
        <sz val="11"/>
        <color rgb="FF030303"/>
        <rFont val="Calibri"/>
        <family val="2"/>
        <charset val="238"/>
        <scheme val="minor"/>
      </rPr>
      <t>KOUPELNA  ŽENY</t>
    </r>
  </si>
  <si>
    <r>
      <rPr>
        <sz val="11"/>
        <color rgb="FF030303"/>
        <rFont val="Calibri"/>
        <family val="2"/>
        <charset val="238"/>
        <scheme val="minor"/>
      </rPr>
      <t>A</t>
    </r>
    <r>
      <rPr>
        <sz val="11"/>
        <color rgb="FF262626"/>
        <rFont val="Calibri"/>
        <family val="2"/>
        <charset val="238"/>
        <scheme val="minor"/>
      </rPr>
      <t>.</t>
    </r>
    <r>
      <rPr>
        <sz val="11"/>
        <color rgb="FF030303"/>
        <rFont val="Calibri"/>
        <family val="2"/>
        <charset val="238"/>
        <scheme val="minor"/>
      </rPr>
      <t>128</t>
    </r>
  </si>
  <si>
    <r>
      <rPr>
        <sz val="11"/>
        <color rgb="FF030303"/>
        <rFont val="Calibri"/>
        <family val="2"/>
        <charset val="238"/>
        <scheme val="minor"/>
      </rPr>
      <t>ŠATNA ŽENY</t>
    </r>
  </si>
  <si>
    <r>
      <rPr>
        <sz val="11"/>
        <color rgb="FF030303"/>
        <rFont val="Calibri"/>
        <family val="2"/>
        <charset val="238"/>
        <scheme val="minor"/>
      </rPr>
      <t>A</t>
    </r>
    <r>
      <rPr>
        <sz val="11"/>
        <color rgb="FF424242"/>
        <rFont val="Calibri"/>
        <family val="2"/>
        <charset val="238"/>
        <scheme val="minor"/>
      </rPr>
      <t>.</t>
    </r>
    <r>
      <rPr>
        <sz val="11"/>
        <color rgb="FF030303"/>
        <rFont val="Calibri"/>
        <family val="2"/>
        <charset val="238"/>
        <scheme val="minor"/>
      </rPr>
      <t>129</t>
    </r>
  </si>
  <si>
    <r>
      <rPr>
        <sz val="11"/>
        <color rgb="FF030303"/>
        <rFont val="Calibri"/>
        <family val="2"/>
        <charset val="238"/>
        <scheme val="minor"/>
      </rPr>
      <t>A</t>
    </r>
    <r>
      <rPr>
        <sz val="11"/>
        <color rgb="FF262626"/>
        <rFont val="Calibri"/>
        <family val="2"/>
        <charset val="238"/>
        <scheme val="minor"/>
      </rPr>
      <t>.</t>
    </r>
    <r>
      <rPr>
        <sz val="11"/>
        <color rgb="FF030303"/>
        <rFont val="Calibri"/>
        <family val="2"/>
        <charset val="238"/>
        <scheme val="minor"/>
      </rPr>
      <t>130</t>
    </r>
  </si>
  <si>
    <r>
      <rPr>
        <sz val="11"/>
        <color rgb="FF030303"/>
        <rFont val="Calibri"/>
        <family val="2"/>
        <charset val="238"/>
        <scheme val="minor"/>
      </rPr>
      <t>C.131</t>
    </r>
  </si>
  <si>
    <r>
      <rPr>
        <sz val="11"/>
        <color rgb="FF030303"/>
        <rFont val="Calibri"/>
        <family val="2"/>
        <charset val="238"/>
        <scheme val="minor"/>
      </rPr>
      <t>SOC. ZAŘ</t>
    </r>
    <r>
      <rPr>
        <sz val="11"/>
        <color rgb="FF383838"/>
        <rFont val="Calibri"/>
        <family val="2"/>
        <charset val="238"/>
        <scheme val="minor"/>
      </rPr>
      <t xml:space="preserve">ÍZENÍ </t>
    </r>
    <r>
      <rPr>
        <sz val="11"/>
        <color rgb="FF030303"/>
        <rFont val="Calibri"/>
        <family val="2"/>
        <charset val="238"/>
        <scheme val="minor"/>
      </rPr>
      <t>ADMINISTRATIVA</t>
    </r>
  </si>
  <si>
    <r>
      <rPr>
        <sz val="11"/>
        <color rgb="FF030303"/>
        <rFont val="Calibri"/>
        <family val="2"/>
        <charset val="238"/>
        <scheme val="minor"/>
      </rPr>
      <t>C.132</t>
    </r>
  </si>
  <si>
    <r>
      <rPr>
        <sz val="11"/>
        <color rgb="FF030303"/>
        <rFont val="Calibri"/>
        <family val="2"/>
        <charset val="238"/>
        <scheme val="minor"/>
      </rPr>
      <t>WC ŽENY</t>
    </r>
  </si>
  <si>
    <r>
      <rPr>
        <sz val="11"/>
        <color rgb="FF030303"/>
        <rFont val="Calibri"/>
        <family val="2"/>
        <charset val="238"/>
        <scheme val="minor"/>
      </rPr>
      <t>C</t>
    </r>
    <r>
      <rPr>
        <sz val="11"/>
        <color rgb="FF383838"/>
        <rFont val="Calibri"/>
        <family val="2"/>
        <charset val="238"/>
        <scheme val="minor"/>
      </rPr>
      <t>.</t>
    </r>
    <r>
      <rPr>
        <sz val="11"/>
        <color rgb="FF030303"/>
        <rFont val="Calibri"/>
        <family val="2"/>
        <charset val="238"/>
        <scheme val="minor"/>
      </rPr>
      <t>133</t>
    </r>
  </si>
  <si>
    <r>
      <rPr>
        <sz val="11"/>
        <color rgb="FF030303"/>
        <rFont val="Calibri"/>
        <family val="2"/>
        <charset val="238"/>
        <scheme val="minor"/>
      </rPr>
      <t>WC MUŽI</t>
    </r>
  </si>
  <si>
    <r>
      <rPr>
        <sz val="11"/>
        <color rgb="FF030303"/>
        <rFont val="Calibri"/>
        <family val="2"/>
        <charset val="238"/>
        <scheme val="minor"/>
      </rPr>
      <t>H.115a</t>
    </r>
  </si>
  <si>
    <r>
      <rPr>
        <sz val="11"/>
        <color rgb="FF030303"/>
        <rFont val="Calibri"/>
        <family val="2"/>
        <charset val="238"/>
        <scheme val="minor"/>
      </rPr>
      <t>HALA</t>
    </r>
  </si>
  <si>
    <r>
      <rPr>
        <sz val="11"/>
        <color rgb="FF030303"/>
        <rFont val="Calibri"/>
        <family val="2"/>
        <charset val="238"/>
        <scheme val="minor"/>
      </rPr>
      <t>H</t>
    </r>
    <r>
      <rPr>
        <sz val="11"/>
        <color rgb="FF444444"/>
        <rFont val="Calibri"/>
        <family val="2"/>
        <charset val="238"/>
        <scheme val="minor"/>
      </rPr>
      <t>.</t>
    </r>
    <r>
      <rPr>
        <sz val="11"/>
        <color rgb="FF030303"/>
        <rFont val="Calibri"/>
        <family val="2"/>
        <charset val="238"/>
        <scheme val="minor"/>
      </rPr>
      <t>115b</t>
    </r>
  </si>
  <si>
    <r>
      <rPr>
        <sz val="11"/>
        <color rgb="FF030303"/>
        <rFont val="Calibri"/>
        <family val="2"/>
        <charset val="238"/>
        <scheme val="minor"/>
      </rPr>
      <t>PŘEDSÍŇ WC ŽENY</t>
    </r>
  </si>
  <si>
    <r>
      <rPr>
        <sz val="11"/>
        <color rgb="FF030303"/>
        <rFont val="Calibri"/>
        <family val="2"/>
        <charset val="238"/>
        <scheme val="minor"/>
      </rPr>
      <t>H</t>
    </r>
    <r>
      <rPr>
        <sz val="11"/>
        <color rgb="FF444444"/>
        <rFont val="Calibri"/>
        <family val="2"/>
        <charset val="238"/>
        <scheme val="minor"/>
      </rPr>
      <t>.</t>
    </r>
    <r>
      <rPr>
        <sz val="11"/>
        <color rgb="FF030303"/>
        <rFont val="Calibri"/>
        <family val="2"/>
        <charset val="238"/>
        <scheme val="minor"/>
      </rPr>
      <t>115c</t>
    </r>
  </si>
  <si>
    <r>
      <rPr>
        <sz val="11"/>
        <color rgb="FF030303"/>
        <rFont val="Calibri"/>
        <family val="2"/>
        <charset val="238"/>
        <scheme val="minor"/>
      </rPr>
      <t>H</t>
    </r>
    <r>
      <rPr>
        <sz val="11"/>
        <color rgb="FF444444"/>
        <rFont val="Calibri"/>
        <family val="2"/>
        <charset val="238"/>
        <scheme val="minor"/>
      </rPr>
      <t>.</t>
    </r>
    <r>
      <rPr>
        <sz val="11"/>
        <color rgb="FF030303"/>
        <rFont val="Calibri"/>
        <family val="2"/>
        <charset val="238"/>
        <scheme val="minor"/>
      </rPr>
      <t>115d</t>
    </r>
  </si>
  <si>
    <r>
      <rPr>
        <sz val="11"/>
        <color rgb="FF030303"/>
        <rFont val="Calibri"/>
        <family val="2"/>
        <charset val="238"/>
        <scheme val="minor"/>
      </rPr>
      <t>H</t>
    </r>
    <r>
      <rPr>
        <sz val="11"/>
        <color rgb="FF444444"/>
        <rFont val="Calibri"/>
        <family val="2"/>
        <charset val="238"/>
        <scheme val="minor"/>
      </rPr>
      <t>.</t>
    </r>
    <r>
      <rPr>
        <sz val="11"/>
        <color rgb="FF030303"/>
        <rFont val="Calibri"/>
        <family val="2"/>
        <charset val="238"/>
        <scheme val="minor"/>
      </rPr>
      <t>115e</t>
    </r>
  </si>
  <si>
    <r>
      <rPr>
        <sz val="11"/>
        <color rgb="FF030303"/>
        <rFont val="Calibri"/>
        <family val="2"/>
        <charset val="238"/>
        <scheme val="minor"/>
      </rPr>
      <t>PŘEDSÍŇ WC MUŽI</t>
    </r>
  </si>
  <si>
    <r>
      <rPr>
        <sz val="11"/>
        <color rgb="FF030303"/>
        <rFont val="Calibri"/>
        <family val="2"/>
        <charset val="238"/>
        <scheme val="minor"/>
      </rPr>
      <t>H</t>
    </r>
    <r>
      <rPr>
        <sz val="11"/>
        <color rgb="FF444444"/>
        <rFont val="Calibri"/>
        <family val="2"/>
        <charset val="238"/>
        <scheme val="minor"/>
      </rPr>
      <t>.</t>
    </r>
    <r>
      <rPr>
        <sz val="11"/>
        <color rgb="FF030303"/>
        <rFont val="Calibri"/>
        <family val="2"/>
        <charset val="238"/>
        <scheme val="minor"/>
      </rPr>
      <t>115f</t>
    </r>
  </si>
  <si>
    <r>
      <rPr>
        <sz val="11"/>
        <color rgb="FF030303"/>
        <rFont val="Calibri"/>
        <family val="2"/>
        <charset val="238"/>
        <scheme val="minor"/>
      </rPr>
      <t>H</t>
    </r>
    <r>
      <rPr>
        <sz val="11"/>
        <color rgb="FF444444"/>
        <rFont val="Calibri"/>
        <family val="2"/>
        <charset val="238"/>
        <scheme val="minor"/>
      </rPr>
      <t>.</t>
    </r>
    <r>
      <rPr>
        <sz val="11"/>
        <color rgb="FF030303"/>
        <rFont val="Calibri"/>
        <family val="2"/>
        <charset val="238"/>
        <scheme val="minor"/>
      </rPr>
      <t>115g</t>
    </r>
  </si>
  <si>
    <r>
      <rPr>
        <sz val="11"/>
        <color rgb="FF030303"/>
        <rFont val="Calibri"/>
        <family val="2"/>
        <charset val="238"/>
        <scheme val="minor"/>
      </rPr>
      <t>WC MUŽI PISOÁR</t>
    </r>
  </si>
  <si>
    <r>
      <rPr>
        <sz val="11"/>
        <color rgb="FF030303"/>
        <rFont val="Calibri"/>
        <family val="2"/>
        <charset val="238"/>
        <scheme val="minor"/>
      </rPr>
      <t>H</t>
    </r>
    <r>
      <rPr>
        <sz val="11"/>
        <color rgb="FF444444"/>
        <rFont val="Calibri"/>
        <family val="2"/>
        <charset val="238"/>
        <scheme val="minor"/>
      </rPr>
      <t>.</t>
    </r>
    <r>
      <rPr>
        <sz val="11"/>
        <color rgb="FF030303"/>
        <rFont val="Calibri"/>
        <family val="2"/>
        <charset val="238"/>
        <scheme val="minor"/>
      </rPr>
      <t>116</t>
    </r>
  </si>
  <si>
    <r>
      <rPr>
        <sz val="11"/>
        <color rgb="FF1A1A1A"/>
        <rFont val="Calibri"/>
        <family val="2"/>
        <charset val="238"/>
        <scheme val="minor"/>
      </rPr>
      <t>B</t>
    </r>
    <r>
      <rPr>
        <sz val="11"/>
        <color rgb="FF363636"/>
        <rFont val="Calibri"/>
        <family val="2"/>
        <charset val="238"/>
        <scheme val="minor"/>
      </rPr>
      <t>.</t>
    </r>
    <r>
      <rPr>
        <sz val="11"/>
        <rFont val="Calibri"/>
        <family val="2"/>
        <charset val="238"/>
        <scheme val="minor"/>
      </rPr>
      <t>1</t>
    </r>
    <r>
      <rPr>
        <sz val="11"/>
        <color rgb="FF1A1A1A"/>
        <rFont val="Calibri"/>
        <family val="2"/>
        <charset val="238"/>
        <scheme val="minor"/>
      </rPr>
      <t>14</t>
    </r>
  </si>
  <si>
    <r>
      <rPr>
        <sz val="11"/>
        <color rgb="FF1A1A1A"/>
        <rFont val="Calibri"/>
        <family val="2"/>
        <charset val="238"/>
        <scheme val="minor"/>
      </rPr>
      <t>ŠA</t>
    </r>
    <r>
      <rPr>
        <sz val="11"/>
        <rFont val="Calibri"/>
        <family val="2"/>
        <charset val="238"/>
        <scheme val="minor"/>
      </rPr>
      <t>T</t>
    </r>
    <r>
      <rPr>
        <sz val="11"/>
        <color rgb="FF1A1A1A"/>
        <rFont val="Calibri"/>
        <family val="2"/>
        <charset val="238"/>
        <scheme val="minor"/>
      </rPr>
      <t>NA MUŽ</t>
    </r>
    <r>
      <rPr>
        <sz val="11"/>
        <rFont val="Calibri"/>
        <family val="2"/>
        <charset val="238"/>
        <scheme val="minor"/>
      </rPr>
      <t>I</t>
    </r>
  </si>
  <si>
    <r>
      <rPr>
        <sz val="11"/>
        <color rgb="FF363636"/>
        <rFont val="Calibri"/>
        <family val="2"/>
        <charset val="238"/>
        <scheme val="minor"/>
      </rPr>
      <t>T3</t>
    </r>
  </si>
  <si>
    <r>
      <rPr>
        <sz val="11"/>
        <color rgb="FF1A1A1A"/>
        <rFont val="Calibri"/>
        <family val="2"/>
        <charset val="238"/>
        <scheme val="minor"/>
      </rPr>
      <t>B</t>
    </r>
    <r>
      <rPr>
        <sz val="11"/>
        <color rgb="FF363636"/>
        <rFont val="Calibri"/>
        <family val="2"/>
        <charset val="238"/>
        <scheme val="minor"/>
      </rPr>
      <t>.</t>
    </r>
    <r>
      <rPr>
        <sz val="11"/>
        <rFont val="Calibri"/>
        <family val="2"/>
        <charset val="238"/>
        <scheme val="minor"/>
      </rPr>
      <t>1</t>
    </r>
    <r>
      <rPr>
        <sz val="11"/>
        <color rgb="FF1A1A1A"/>
        <rFont val="Calibri"/>
        <family val="2"/>
        <charset val="238"/>
        <scheme val="minor"/>
      </rPr>
      <t>15</t>
    </r>
  </si>
  <si>
    <r>
      <rPr>
        <sz val="11"/>
        <color rgb="FF1A1A1A"/>
        <rFont val="Calibri"/>
        <family val="2"/>
        <charset val="238"/>
        <scheme val="minor"/>
      </rPr>
      <t>SPRC</t>
    </r>
    <r>
      <rPr>
        <sz val="11"/>
        <rFont val="Calibri"/>
        <family val="2"/>
        <charset val="238"/>
        <scheme val="minor"/>
      </rPr>
      <t>H</t>
    </r>
    <r>
      <rPr>
        <sz val="11"/>
        <color rgb="FF1A1A1A"/>
        <rFont val="Calibri"/>
        <family val="2"/>
        <charset val="238"/>
        <scheme val="minor"/>
      </rPr>
      <t>A M</t>
    </r>
    <r>
      <rPr>
        <sz val="11"/>
        <rFont val="Calibri"/>
        <family val="2"/>
        <charset val="238"/>
        <scheme val="minor"/>
      </rPr>
      <t>U</t>
    </r>
    <r>
      <rPr>
        <sz val="11"/>
        <color rgb="FF1A1A1A"/>
        <rFont val="Calibri"/>
        <family val="2"/>
        <charset val="238"/>
        <scheme val="minor"/>
      </rPr>
      <t>Ž</t>
    </r>
    <r>
      <rPr>
        <sz val="11"/>
        <rFont val="Calibri"/>
        <family val="2"/>
        <charset val="238"/>
        <scheme val="minor"/>
      </rPr>
      <t>I</t>
    </r>
  </si>
  <si>
    <r>
      <rPr>
        <sz val="11"/>
        <color rgb="FF363636"/>
        <rFont val="Calibri"/>
        <family val="2"/>
        <charset val="238"/>
        <scheme val="minor"/>
      </rPr>
      <t>T</t>
    </r>
    <r>
      <rPr>
        <sz val="11"/>
        <color rgb="FF1A1A1A"/>
        <rFont val="Calibri"/>
        <family val="2"/>
        <charset val="238"/>
        <scheme val="minor"/>
      </rPr>
      <t>4</t>
    </r>
  </si>
  <si>
    <r>
      <rPr>
        <sz val="11"/>
        <color rgb="FF1A1A1A"/>
        <rFont val="Calibri"/>
        <family val="2"/>
        <charset val="238"/>
        <scheme val="minor"/>
      </rPr>
      <t>B.116</t>
    </r>
  </si>
  <si>
    <r>
      <rPr>
        <sz val="11"/>
        <color rgb="FF1A1A1A"/>
        <rFont val="Calibri"/>
        <family val="2"/>
        <charset val="238"/>
        <scheme val="minor"/>
      </rPr>
      <t>WC MUŽI</t>
    </r>
  </si>
  <si>
    <r>
      <rPr>
        <sz val="11"/>
        <color rgb="FF1A1A1A"/>
        <rFont val="Calibri"/>
        <family val="2"/>
        <charset val="238"/>
        <scheme val="minor"/>
      </rPr>
      <t>B</t>
    </r>
    <r>
      <rPr>
        <sz val="11"/>
        <color rgb="FF363636"/>
        <rFont val="Calibri"/>
        <family val="2"/>
        <charset val="238"/>
        <scheme val="minor"/>
      </rPr>
      <t>.</t>
    </r>
    <r>
      <rPr>
        <sz val="11"/>
        <rFont val="Calibri"/>
        <family val="2"/>
        <charset val="238"/>
        <scheme val="minor"/>
      </rPr>
      <t>1</t>
    </r>
    <r>
      <rPr>
        <sz val="11"/>
        <color rgb="FF1A1A1A"/>
        <rFont val="Calibri"/>
        <family val="2"/>
        <charset val="238"/>
        <scheme val="minor"/>
      </rPr>
      <t>17</t>
    </r>
  </si>
  <si>
    <r>
      <rPr>
        <sz val="11"/>
        <color rgb="FF1A1A1A"/>
        <rFont val="Calibri"/>
        <family val="2"/>
        <charset val="238"/>
        <scheme val="minor"/>
      </rPr>
      <t>ŠA</t>
    </r>
    <r>
      <rPr>
        <sz val="11"/>
        <rFont val="Calibri"/>
        <family val="2"/>
        <charset val="238"/>
        <scheme val="minor"/>
      </rPr>
      <t>TN</t>
    </r>
    <r>
      <rPr>
        <sz val="11"/>
        <color rgb="FF1A1A1A"/>
        <rFont val="Calibri"/>
        <family val="2"/>
        <charset val="238"/>
        <scheme val="minor"/>
      </rPr>
      <t>A Ž</t>
    </r>
    <r>
      <rPr>
        <sz val="11"/>
        <rFont val="Calibri"/>
        <family val="2"/>
        <charset val="238"/>
        <scheme val="minor"/>
      </rPr>
      <t>E</t>
    </r>
    <r>
      <rPr>
        <sz val="11"/>
        <color rgb="FF1A1A1A"/>
        <rFont val="Calibri"/>
        <family val="2"/>
        <charset val="238"/>
        <scheme val="minor"/>
      </rPr>
      <t>NY</t>
    </r>
  </si>
  <si>
    <r>
      <rPr>
        <sz val="11"/>
        <color rgb="FF1A1A1A"/>
        <rFont val="Calibri"/>
        <family val="2"/>
        <charset val="238"/>
        <scheme val="minor"/>
      </rPr>
      <t>B</t>
    </r>
    <r>
      <rPr>
        <sz val="11"/>
        <color rgb="FF363636"/>
        <rFont val="Calibri"/>
        <family val="2"/>
        <charset val="238"/>
        <scheme val="minor"/>
      </rPr>
      <t>.</t>
    </r>
    <r>
      <rPr>
        <sz val="11"/>
        <rFont val="Calibri"/>
        <family val="2"/>
        <charset val="238"/>
        <scheme val="minor"/>
      </rPr>
      <t>1</t>
    </r>
    <r>
      <rPr>
        <sz val="11"/>
        <color rgb="FF1A1A1A"/>
        <rFont val="Calibri"/>
        <family val="2"/>
        <charset val="238"/>
        <scheme val="minor"/>
      </rPr>
      <t>18</t>
    </r>
  </si>
  <si>
    <r>
      <rPr>
        <sz val="11"/>
        <color rgb="FF1A1A1A"/>
        <rFont val="Calibri"/>
        <family val="2"/>
        <charset val="238"/>
        <scheme val="minor"/>
      </rPr>
      <t>SPRC</t>
    </r>
    <r>
      <rPr>
        <sz val="11"/>
        <rFont val="Calibri"/>
        <family val="2"/>
        <charset val="238"/>
        <scheme val="minor"/>
      </rPr>
      <t>H</t>
    </r>
    <r>
      <rPr>
        <sz val="11"/>
        <color rgb="FF1A1A1A"/>
        <rFont val="Calibri"/>
        <family val="2"/>
        <charset val="238"/>
        <scheme val="minor"/>
      </rPr>
      <t>A Ž</t>
    </r>
    <r>
      <rPr>
        <sz val="11"/>
        <rFont val="Calibri"/>
        <family val="2"/>
        <charset val="238"/>
        <scheme val="minor"/>
      </rPr>
      <t>E</t>
    </r>
    <r>
      <rPr>
        <sz val="11"/>
        <color rgb="FF1A1A1A"/>
        <rFont val="Calibri"/>
        <family val="2"/>
        <charset val="238"/>
        <scheme val="minor"/>
      </rPr>
      <t>NY</t>
    </r>
  </si>
  <si>
    <r>
      <rPr>
        <sz val="11"/>
        <color rgb="FF1A1A1A"/>
        <rFont val="Calibri"/>
        <family val="2"/>
        <charset val="238"/>
        <scheme val="minor"/>
      </rPr>
      <t>B.119</t>
    </r>
  </si>
  <si>
    <r>
      <rPr>
        <sz val="11"/>
        <color rgb="FF1A1A1A"/>
        <rFont val="Calibri"/>
        <family val="2"/>
        <charset val="238"/>
        <scheme val="minor"/>
      </rPr>
      <t>WC Ž</t>
    </r>
    <r>
      <rPr>
        <sz val="11"/>
        <rFont val="Calibri"/>
        <family val="2"/>
        <charset val="238"/>
        <scheme val="minor"/>
      </rPr>
      <t>E</t>
    </r>
    <r>
      <rPr>
        <sz val="11"/>
        <color rgb="FF1A1A1A"/>
        <rFont val="Calibri"/>
        <family val="2"/>
        <charset val="238"/>
        <scheme val="minor"/>
      </rPr>
      <t>NY</t>
    </r>
  </si>
  <si>
    <r>
      <rPr>
        <sz val="11"/>
        <color rgb="FF1A1A1A"/>
        <rFont val="Calibri"/>
        <family val="2"/>
        <charset val="238"/>
        <scheme val="minor"/>
      </rPr>
      <t>B.</t>
    </r>
    <r>
      <rPr>
        <sz val="11"/>
        <rFont val="Calibri"/>
        <family val="2"/>
        <charset val="238"/>
        <scheme val="minor"/>
      </rPr>
      <t>1</t>
    </r>
    <r>
      <rPr>
        <sz val="11"/>
        <color rgb="FF1A1A1A"/>
        <rFont val="Calibri"/>
        <family val="2"/>
        <charset val="238"/>
        <scheme val="minor"/>
      </rPr>
      <t>34</t>
    </r>
  </si>
  <si>
    <r>
      <t>Ú</t>
    </r>
    <r>
      <rPr>
        <sz val="11"/>
        <color rgb="FF1A1A1A"/>
        <rFont val="Calibri"/>
        <family val="2"/>
        <charset val="238"/>
        <scheme val="minor"/>
      </rPr>
      <t>K</t>
    </r>
    <r>
      <rPr>
        <sz val="11"/>
        <rFont val="Calibri"/>
        <family val="2"/>
        <charset val="238"/>
        <scheme val="minor"/>
      </rPr>
      <t>LID</t>
    </r>
    <r>
      <rPr>
        <sz val="11"/>
        <color rgb="FF363636"/>
        <rFont val="Calibri"/>
        <family val="2"/>
        <charset val="238"/>
        <scheme val="minor"/>
      </rPr>
      <t xml:space="preserve">, </t>
    </r>
    <r>
      <rPr>
        <sz val="11"/>
        <color rgb="FF1A1A1A"/>
        <rFont val="Calibri"/>
        <family val="2"/>
        <charset val="238"/>
        <scheme val="minor"/>
      </rPr>
      <t>SKLAD C</t>
    </r>
    <r>
      <rPr>
        <sz val="11"/>
        <rFont val="Calibri"/>
        <family val="2"/>
        <charset val="238"/>
        <scheme val="minor"/>
      </rPr>
      <t>HE</t>
    </r>
    <r>
      <rPr>
        <sz val="11"/>
        <color rgb="FF1A1A1A"/>
        <rFont val="Calibri"/>
        <family val="2"/>
        <charset val="238"/>
        <scheme val="minor"/>
      </rPr>
      <t>M</t>
    </r>
    <r>
      <rPr>
        <sz val="11"/>
        <rFont val="Calibri"/>
        <family val="2"/>
        <charset val="238"/>
        <scheme val="minor"/>
      </rPr>
      <t>IE</t>
    </r>
  </si>
  <si>
    <r>
      <rPr>
        <sz val="11"/>
        <color rgb="FF4B4B4B"/>
        <rFont val="Calibri"/>
        <family val="2"/>
        <charset val="238"/>
        <scheme val="minor"/>
      </rPr>
      <t>T3</t>
    </r>
  </si>
  <si>
    <r>
      <rPr>
        <sz val="11"/>
        <color rgb="FF1A1A1A"/>
        <rFont val="Calibri"/>
        <family val="2"/>
        <charset val="238"/>
        <scheme val="minor"/>
      </rPr>
      <t>B.</t>
    </r>
    <r>
      <rPr>
        <sz val="11"/>
        <rFont val="Calibri"/>
        <family val="2"/>
        <charset val="238"/>
        <scheme val="minor"/>
      </rPr>
      <t>1</t>
    </r>
    <r>
      <rPr>
        <sz val="11"/>
        <color rgb="FF1A1A1A"/>
        <rFont val="Calibri"/>
        <family val="2"/>
        <charset val="238"/>
        <scheme val="minor"/>
      </rPr>
      <t>35</t>
    </r>
  </si>
  <si>
    <r>
      <t>Ú</t>
    </r>
    <r>
      <rPr>
        <sz val="11"/>
        <color rgb="FF1A1A1A"/>
        <rFont val="Calibri"/>
        <family val="2"/>
        <charset val="238"/>
        <scheme val="minor"/>
      </rPr>
      <t>K</t>
    </r>
    <r>
      <rPr>
        <sz val="11"/>
        <rFont val="Calibri"/>
        <family val="2"/>
        <charset val="238"/>
        <scheme val="minor"/>
      </rPr>
      <t>LI</t>
    </r>
    <r>
      <rPr>
        <sz val="11"/>
        <color rgb="FF1A1A1A"/>
        <rFont val="Calibri"/>
        <family val="2"/>
        <charset val="238"/>
        <scheme val="minor"/>
      </rPr>
      <t>DOVÝ  STROJ</t>
    </r>
  </si>
  <si>
    <r>
      <rPr>
        <sz val="11"/>
        <color rgb="FF1A1A1A"/>
        <rFont val="Calibri"/>
        <family val="2"/>
        <charset val="238"/>
        <scheme val="minor"/>
      </rPr>
      <t>B.</t>
    </r>
    <r>
      <rPr>
        <sz val="11"/>
        <rFont val="Calibri"/>
        <family val="2"/>
        <charset val="238"/>
        <scheme val="minor"/>
      </rPr>
      <t>1</t>
    </r>
    <r>
      <rPr>
        <sz val="11"/>
        <color rgb="FF1A1A1A"/>
        <rFont val="Calibri"/>
        <family val="2"/>
        <charset val="238"/>
        <scheme val="minor"/>
      </rPr>
      <t>42</t>
    </r>
  </si>
  <si>
    <r>
      <rPr>
        <sz val="11"/>
        <color rgb="FF1A1A1A"/>
        <rFont val="Calibri"/>
        <family val="2"/>
        <charset val="238"/>
        <scheme val="minor"/>
      </rPr>
      <t>MY</t>
    </r>
    <r>
      <rPr>
        <sz val="11"/>
        <rFont val="Calibri"/>
        <family val="2"/>
        <charset val="238"/>
        <scheme val="minor"/>
      </rPr>
      <t>T</t>
    </r>
    <r>
      <rPr>
        <sz val="11"/>
        <color rgb="FF1A1A1A"/>
        <rFont val="Calibri"/>
        <family val="2"/>
        <charset val="238"/>
        <scheme val="minor"/>
      </rPr>
      <t>Í S</t>
    </r>
    <r>
      <rPr>
        <sz val="11"/>
        <rFont val="Calibri"/>
        <family val="2"/>
        <charset val="238"/>
        <scheme val="minor"/>
      </rPr>
      <t>T</t>
    </r>
    <r>
      <rPr>
        <sz val="11"/>
        <color rgb="FF1A1A1A"/>
        <rFont val="Calibri"/>
        <family val="2"/>
        <charset val="238"/>
        <scheme val="minor"/>
      </rPr>
      <t>O</t>
    </r>
    <r>
      <rPr>
        <sz val="11"/>
        <rFont val="Calibri"/>
        <family val="2"/>
        <charset val="238"/>
        <scheme val="minor"/>
      </rPr>
      <t xml:space="preserve">L. </t>
    </r>
    <r>
      <rPr>
        <sz val="11"/>
        <color rgb="FF1A1A1A"/>
        <rFont val="Calibri"/>
        <family val="2"/>
        <charset val="238"/>
        <scheme val="minor"/>
      </rPr>
      <t>NÁ</t>
    </r>
    <r>
      <rPr>
        <sz val="11"/>
        <rFont val="Calibri"/>
        <family val="2"/>
        <charset val="238"/>
        <scheme val="minor"/>
      </rPr>
      <t>D</t>
    </r>
    <r>
      <rPr>
        <sz val="11"/>
        <color rgb="FF1A1A1A"/>
        <rFont val="Calibri"/>
        <family val="2"/>
        <charset val="238"/>
        <scheme val="minor"/>
      </rPr>
      <t xml:space="preserve">OBÍ </t>
    </r>
    <r>
      <rPr>
        <sz val="11"/>
        <rFont val="Calibri"/>
        <family val="2"/>
        <charset val="238"/>
        <scheme val="minor"/>
      </rPr>
      <t xml:space="preserve">- </t>
    </r>
    <r>
      <rPr>
        <sz val="11"/>
        <color rgb="FF1A1A1A"/>
        <rFont val="Calibri"/>
        <family val="2"/>
        <charset val="238"/>
        <scheme val="minor"/>
      </rPr>
      <t>JÍ</t>
    </r>
    <r>
      <rPr>
        <sz val="11"/>
        <rFont val="Calibri"/>
        <family val="2"/>
        <charset val="238"/>
        <scheme val="minor"/>
      </rPr>
      <t>DEL</t>
    </r>
    <r>
      <rPr>
        <sz val="11"/>
        <color rgb="FF1A1A1A"/>
        <rFont val="Calibri"/>
        <family val="2"/>
        <charset val="238"/>
        <scheme val="minor"/>
      </rPr>
      <t>NA</t>
    </r>
  </si>
  <si>
    <r>
      <rPr>
        <sz val="11"/>
        <color rgb="FF1A1A1A"/>
        <rFont val="Calibri"/>
        <family val="2"/>
        <charset val="238"/>
        <scheme val="minor"/>
      </rPr>
      <t>B.</t>
    </r>
    <r>
      <rPr>
        <sz val="11"/>
        <rFont val="Calibri"/>
        <family val="2"/>
        <charset val="238"/>
        <scheme val="minor"/>
      </rPr>
      <t>1</t>
    </r>
    <r>
      <rPr>
        <sz val="11"/>
        <color rgb="FF1A1A1A"/>
        <rFont val="Calibri"/>
        <family val="2"/>
        <charset val="238"/>
        <scheme val="minor"/>
      </rPr>
      <t>4</t>
    </r>
    <r>
      <rPr>
        <sz val="11"/>
        <color rgb="FF363636"/>
        <rFont val="Calibri"/>
        <family val="2"/>
        <charset val="238"/>
        <scheme val="minor"/>
      </rPr>
      <t>3</t>
    </r>
  </si>
  <si>
    <r>
      <rPr>
        <sz val="11"/>
        <color rgb="FF1A1A1A"/>
        <rFont val="Calibri"/>
        <family val="2"/>
        <charset val="238"/>
        <scheme val="minor"/>
      </rPr>
      <t>MY</t>
    </r>
    <r>
      <rPr>
        <sz val="11"/>
        <rFont val="Calibri"/>
        <family val="2"/>
        <charset val="238"/>
        <scheme val="minor"/>
      </rPr>
      <t xml:space="preserve">TÍ </t>
    </r>
    <r>
      <rPr>
        <sz val="11"/>
        <color rgb="FF1A1A1A"/>
        <rFont val="Calibri"/>
        <family val="2"/>
        <charset val="238"/>
        <scheme val="minor"/>
      </rPr>
      <t>O</t>
    </r>
    <r>
      <rPr>
        <sz val="11"/>
        <rFont val="Calibri"/>
        <family val="2"/>
        <charset val="238"/>
        <scheme val="minor"/>
      </rPr>
      <t xml:space="preserve">DP </t>
    </r>
    <r>
      <rPr>
        <sz val="11"/>
        <color rgb="FF1A1A1A"/>
        <rFont val="Calibri"/>
        <family val="2"/>
        <charset val="238"/>
        <scheme val="minor"/>
      </rPr>
      <t>A</t>
    </r>
    <r>
      <rPr>
        <sz val="11"/>
        <rFont val="Calibri"/>
        <family val="2"/>
        <charset val="238"/>
        <scheme val="minor"/>
      </rPr>
      <t>D</t>
    </r>
    <r>
      <rPr>
        <sz val="11"/>
        <color rgb="FF1A1A1A"/>
        <rFont val="Calibri"/>
        <family val="2"/>
        <charset val="238"/>
        <scheme val="minor"/>
      </rPr>
      <t>OVÝC</t>
    </r>
    <r>
      <rPr>
        <sz val="11"/>
        <rFont val="Calibri"/>
        <family val="2"/>
        <charset val="238"/>
        <scheme val="minor"/>
      </rPr>
      <t>H N</t>
    </r>
    <r>
      <rPr>
        <sz val="11"/>
        <color rgb="FF1A1A1A"/>
        <rFont val="Calibri"/>
        <family val="2"/>
        <charset val="238"/>
        <scheme val="minor"/>
      </rPr>
      <t>Á</t>
    </r>
    <r>
      <rPr>
        <sz val="11"/>
        <rFont val="Calibri"/>
        <family val="2"/>
        <charset val="238"/>
        <scheme val="minor"/>
      </rPr>
      <t>D</t>
    </r>
    <r>
      <rPr>
        <sz val="11"/>
        <color rgb="FF1A1A1A"/>
        <rFont val="Calibri"/>
        <family val="2"/>
        <charset val="238"/>
        <scheme val="minor"/>
      </rPr>
      <t>O</t>
    </r>
    <r>
      <rPr>
        <sz val="11"/>
        <rFont val="Calibri"/>
        <family val="2"/>
        <charset val="238"/>
        <scheme val="minor"/>
      </rPr>
      <t>B</t>
    </r>
  </si>
  <si>
    <r>
      <rPr>
        <sz val="11"/>
        <color rgb="FF1A1A1A"/>
        <rFont val="Calibri"/>
        <family val="2"/>
        <charset val="238"/>
        <scheme val="minor"/>
      </rPr>
      <t>B</t>
    </r>
    <r>
      <rPr>
        <sz val="11"/>
        <color rgb="FF363636"/>
        <rFont val="Calibri"/>
        <family val="2"/>
        <charset val="238"/>
        <scheme val="minor"/>
      </rPr>
      <t>.</t>
    </r>
    <r>
      <rPr>
        <sz val="11"/>
        <color rgb="FF1A1A1A"/>
        <rFont val="Calibri"/>
        <family val="2"/>
        <charset val="238"/>
        <scheme val="minor"/>
      </rPr>
      <t>144</t>
    </r>
  </si>
  <si>
    <r>
      <rPr>
        <sz val="11"/>
        <color rgb="FF1A1A1A"/>
        <rFont val="Calibri"/>
        <family val="2"/>
        <charset val="238"/>
        <scheme val="minor"/>
      </rPr>
      <t>C</t>
    </r>
    <r>
      <rPr>
        <sz val="11"/>
        <rFont val="Calibri"/>
        <family val="2"/>
        <charset val="238"/>
        <scheme val="minor"/>
      </rPr>
      <t>HL</t>
    </r>
    <r>
      <rPr>
        <sz val="11"/>
        <color rgb="FF1A1A1A"/>
        <rFont val="Calibri"/>
        <family val="2"/>
        <charset val="238"/>
        <scheme val="minor"/>
      </rPr>
      <t>AZENÝ  SK</t>
    </r>
    <r>
      <rPr>
        <sz val="11"/>
        <rFont val="Calibri"/>
        <family val="2"/>
        <charset val="238"/>
        <scheme val="minor"/>
      </rPr>
      <t>L</t>
    </r>
    <r>
      <rPr>
        <sz val="11"/>
        <color rgb="FF1A1A1A"/>
        <rFont val="Calibri"/>
        <family val="2"/>
        <charset val="238"/>
        <scheme val="minor"/>
      </rPr>
      <t>AD ODPADŮ</t>
    </r>
  </si>
  <si>
    <r>
      <rPr>
        <sz val="11"/>
        <color rgb="FF030303"/>
        <rFont val="Calibri"/>
        <family val="2"/>
        <charset val="238"/>
        <scheme val="minor"/>
      </rPr>
      <t>C.136a</t>
    </r>
  </si>
  <si>
    <r>
      <rPr>
        <sz val="11"/>
        <color rgb="FF030303"/>
        <rFont val="Calibri"/>
        <family val="2"/>
        <charset val="238"/>
        <scheme val="minor"/>
      </rPr>
      <t>SLUŽBY - ŠATNA</t>
    </r>
  </si>
  <si>
    <r>
      <rPr>
        <sz val="11"/>
        <color rgb="FF030303"/>
        <rFont val="Calibri"/>
        <family val="2"/>
        <charset val="238"/>
        <scheme val="minor"/>
      </rPr>
      <t>P5</t>
    </r>
    <r>
      <rPr>
        <sz val="11"/>
        <rFont val="Calibri"/>
        <family val="2"/>
        <charset val="238"/>
        <scheme val="minor"/>
      </rPr>
      <t>b</t>
    </r>
  </si>
  <si>
    <r>
      <rPr>
        <sz val="11"/>
        <color rgb="FF030303"/>
        <rFont val="Calibri"/>
        <family val="2"/>
        <charset val="238"/>
        <scheme val="minor"/>
      </rPr>
      <t>C</t>
    </r>
    <r>
      <rPr>
        <sz val="11"/>
        <color rgb="FF494949"/>
        <rFont val="Calibri"/>
        <family val="2"/>
        <charset val="238"/>
        <scheme val="minor"/>
      </rPr>
      <t>.</t>
    </r>
    <r>
      <rPr>
        <sz val="11"/>
        <color rgb="FF030303"/>
        <rFont val="Calibri"/>
        <family val="2"/>
        <charset val="238"/>
        <scheme val="minor"/>
      </rPr>
      <t>136b</t>
    </r>
  </si>
  <si>
    <r>
      <rPr>
        <sz val="11"/>
        <color rgb="FF030303"/>
        <rFont val="Calibri"/>
        <family val="2"/>
        <charset val="238"/>
        <scheme val="minor"/>
      </rPr>
      <t>SLUŽBY - UMYVÁRNA</t>
    </r>
  </si>
  <si>
    <r>
      <rPr>
        <sz val="11"/>
        <color rgb="FF030303"/>
        <rFont val="Calibri"/>
        <family val="2"/>
        <charset val="238"/>
        <scheme val="minor"/>
      </rPr>
      <t>C.136c</t>
    </r>
  </si>
  <si>
    <r>
      <rPr>
        <sz val="11"/>
        <color rgb="FF030303"/>
        <rFont val="Calibri"/>
        <family val="2"/>
        <charset val="238"/>
        <scheme val="minor"/>
      </rPr>
      <t>SLUŽBY-WC</t>
    </r>
  </si>
  <si>
    <r>
      <rPr>
        <sz val="11"/>
        <color rgb="FF1A1A1A"/>
        <rFont val="Calibri"/>
        <family val="2"/>
        <charset val="238"/>
        <scheme val="minor"/>
      </rPr>
      <t>B.113</t>
    </r>
  </si>
  <si>
    <r>
      <rPr>
        <sz val="11"/>
        <color rgb="FF1A1A1A"/>
        <rFont val="Calibri"/>
        <family val="2"/>
        <charset val="238"/>
        <scheme val="minor"/>
      </rPr>
      <t>C</t>
    </r>
    <r>
      <rPr>
        <sz val="11"/>
        <rFont val="Calibri"/>
        <family val="2"/>
        <charset val="238"/>
        <scheme val="minor"/>
      </rPr>
      <t>H</t>
    </r>
    <r>
      <rPr>
        <sz val="11"/>
        <color rgb="FF1A1A1A"/>
        <rFont val="Calibri"/>
        <family val="2"/>
        <charset val="238"/>
        <scheme val="minor"/>
      </rPr>
      <t>O</t>
    </r>
    <r>
      <rPr>
        <sz val="11"/>
        <rFont val="Calibri"/>
        <family val="2"/>
        <charset val="238"/>
        <scheme val="minor"/>
      </rPr>
      <t>DB</t>
    </r>
    <r>
      <rPr>
        <sz val="11"/>
        <color rgb="FF1A1A1A"/>
        <rFont val="Calibri"/>
        <family val="2"/>
        <charset val="238"/>
        <scheme val="minor"/>
      </rPr>
      <t>A</t>
    </r>
  </si>
  <si>
    <r>
      <rPr>
        <sz val="11"/>
        <color rgb="FF030303"/>
        <rFont val="Calibri"/>
        <family val="2"/>
        <charset val="238"/>
        <scheme val="minor"/>
      </rPr>
      <t>C.134</t>
    </r>
  </si>
  <si>
    <r>
      <rPr>
        <sz val="11"/>
        <color rgb="FF030303"/>
        <rFont val="Calibri"/>
        <family val="2"/>
        <charset val="238"/>
        <scheme val="minor"/>
      </rPr>
      <t>ARCHIV</t>
    </r>
  </si>
  <si>
    <r>
      <rPr>
        <sz val="11"/>
        <color rgb="FF030303"/>
        <rFont val="Calibri"/>
        <family val="2"/>
        <charset val="238"/>
        <scheme val="minor"/>
      </rPr>
      <t>C</t>
    </r>
    <r>
      <rPr>
        <sz val="11"/>
        <color rgb="FF383838"/>
        <rFont val="Calibri"/>
        <family val="2"/>
        <charset val="238"/>
        <scheme val="minor"/>
      </rPr>
      <t>.</t>
    </r>
    <r>
      <rPr>
        <sz val="11"/>
        <color rgb="FF030303"/>
        <rFont val="Calibri"/>
        <family val="2"/>
        <charset val="238"/>
        <scheme val="minor"/>
      </rPr>
      <t>135</t>
    </r>
  </si>
  <si>
    <r>
      <rPr>
        <sz val="11"/>
        <color rgb="FF030303"/>
        <rFont val="Calibri"/>
        <family val="2"/>
        <charset val="238"/>
        <scheme val="minor"/>
      </rPr>
      <t>TREZOR</t>
    </r>
  </si>
  <si>
    <r>
      <rPr>
        <sz val="11"/>
        <color rgb="FF030303"/>
        <rFont val="Calibri"/>
        <family val="2"/>
        <charset val="238"/>
        <scheme val="minor"/>
      </rPr>
      <t>P6</t>
    </r>
    <r>
      <rPr>
        <sz val="11"/>
        <rFont val="Calibri"/>
        <family val="2"/>
        <charset val="238"/>
        <scheme val="minor"/>
      </rPr>
      <t>a</t>
    </r>
  </si>
  <si>
    <r>
      <t>B</t>
    </r>
    <r>
      <rPr>
        <sz val="11"/>
        <color rgb="FF1A1A1A"/>
        <rFont val="Calibri"/>
        <family val="2"/>
        <charset val="238"/>
        <scheme val="minor"/>
      </rPr>
      <t>.</t>
    </r>
    <r>
      <rPr>
        <sz val="11"/>
        <rFont val="Calibri"/>
        <family val="2"/>
        <charset val="238"/>
        <scheme val="minor"/>
      </rPr>
      <t>1</t>
    </r>
    <r>
      <rPr>
        <sz val="11"/>
        <color rgb="FF1A1A1A"/>
        <rFont val="Calibri"/>
        <family val="2"/>
        <charset val="238"/>
        <scheme val="minor"/>
      </rPr>
      <t>32</t>
    </r>
  </si>
  <si>
    <r>
      <rPr>
        <sz val="11"/>
        <color rgb="FF1A1A1A"/>
        <rFont val="Calibri"/>
        <family val="2"/>
        <charset val="238"/>
        <scheme val="minor"/>
      </rPr>
      <t>SK</t>
    </r>
    <r>
      <rPr>
        <sz val="11"/>
        <rFont val="Calibri"/>
        <family val="2"/>
        <charset val="238"/>
        <scheme val="minor"/>
      </rPr>
      <t>L</t>
    </r>
    <r>
      <rPr>
        <sz val="11"/>
        <color rgb="FF1A1A1A"/>
        <rFont val="Calibri"/>
        <family val="2"/>
        <charset val="238"/>
        <scheme val="minor"/>
      </rPr>
      <t>AD</t>
    </r>
  </si>
  <si>
    <r>
      <t>B</t>
    </r>
    <r>
      <rPr>
        <sz val="11"/>
        <color rgb="FF1A1A1A"/>
        <rFont val="Calibri"/>
        <family val="2"/>
        <charset val="238"/>
        <scheme val="minor"/>
      </rPr>
      <t>.13</t>
    </r>
    <r>
      <rPr>
        <sz val="11"/>
        <color rgb="FF363636"/>
        <rFont val="Calibri"/>
        <family val="2"/>
        <charset val="238"/>
        <scheme val="minor"/>
      </rPr>
      <t>3</t>
    </r>
  </si>
  <si>
    <r>
      <rPr>
        <sz val="11"/>
        <color rgb="FF1A1A1A"/>
        <rFont val="Calibri"/>
        <family val="2"/>
        <charset val="238"/>
        <scheme val="minor"/>
      </rPr>
      <t>SK</t>
    </r>
    <r>
      <rPr>
        <sz val="11"/>
        <rFont val="Calibri"/>
        <family val="2"/>
        <charset val="238"/>
        <scheme val="minor"/>
      </rPr>
      <t>L</t>
    </r>
    <r>
      <rPr>
        <sz val="11"/>
        <color rgb="FF1A1A1A"/>
        <rFont val="Calibri"/>
        <family val="2"/>
        <charset val="238"/>
        <scheme val="minor"/>
      </rPr>
      <t>A</t>
    </r>
    <r>
      <rPr>
        <sz val="11"/>
        <rFont val="Calibri"/>
        <family val="2"/>
        <charset val="238"/>
        <scheme val="minor"/>
      </rPr>
      <t>D</t>
    </r>
  </si>
  <si>
    <r>
      <rPr>
        <sz val="11"/>
        <color rgb="FF1A1A1A"/>
        <rFont val="Calibri"/>
        <family val="2"/>
        <charset val="238"/>
        <scheme val="minor"/>
      </rPr>
      <t xml:space="preserve">B.1 </t>
    </r>
    <r>
      <rPr>
        <sz val="11"/>
        <color rgb="FF363636"/>
        <rFont val="Calibri"/>
        <family val="2"/>
        <charset val="238"/>
        <scheme val="minor"/>
      </rPr>
      <t>3</t>
    </r>
    <r>
      <rPr>
        <sz val="11"/>
        <color rgb="FF1A1A1A"/>
        <rFont val="Calibri"/>
        <family val="2"/>
        <charset val="238"/>
        <scheme val="minor"/>
      </rPr>
      <t>6</t>
    </r>
  </si>
  <si>
    <r>
      <rPr>
        <sz val="11"/>
        <color rgb="FF1A1A1A"/>
        <rFont val="Calibri"/>
        <family val="2"/>
        <charset val="238"/>
        <scheme val="minor"/>
      </rPr>
      <t>PŘÍJ</t>
    </r>
    <r>
      <rPr>
        <sz val="11"/>
        <rFont val="Calibri"/>
        <family val="2"/>
        <charset val="238"/>
        <scheme val="minor"/>
      </rPr>
      <t>E</t>
    </r>
    <r>
      <rPr>
        <sz val="11"/>
        <color rgb="FF1A1A1A"/>
        <rFont val="Calibri"/>
        <family val="2"/>
        <charset val="238"/>
        <scheme val="minor"/>
      </rPr>
      <t>M</t>
    </r>
    <r>
      <rPr>
        <sz val="11"/>
        <color rgb="FF363636"/>
        <rFont val="Calibri"/>
        <family val="2"/>
        <charset val="238"/>
        <scheme val="minor"/>
      </rPr>
      <t xml:space="preserve">, </t>
    </r>
    <r>
      <rPr>
        <sz val="11"/>
        <color rgb="FF1A1A1A"/>
        <rFont val="Calibri"/>
        <family val="2"/>
        <charset val="238"/>
        <scheme val="minor"/>
      </rPr>
      <t>MAN</t>
    </r>
    <r>
      <rPr>
        <sz val="11"/>
        <rFont val="Calibri"/>
        <family val="2"/>
        <charset val="238"/>
        <scheme val="minor"/>
      </rPr>
      <t>I</t>
    </r>
    <r>
      <rPr>
        <sz val="11"/>
        <color rgb="FF1A1A1A"/>
        <rFont val="Calibri"/>
        <family val="2"/>
        <charset val="238"/>
        <scheme val="minor"/>
      </rPr>
      <t>P</t>
    </r>
    <r>
      <rPr>
        <sz val="11"/>
        <rFont val="Calibri"/>
        <family val="2"/>
        <charset val="238"/>
        <scheme val="minor"/>
      </rPr>
      <t>UL</t>
    </r>
    <r>
      <rPr>
        <sz val="11"/>
        <color rgb="FF1A1A1A"/>
        <rFont val="Calibri"/>
        <family val="2"/>
        <charset val="238"/>
        <scheme val="minor"/>
      </rPr>
      <t>AC</t>
    </r>
    <r>
      <rPr>
        <sz val="11"/>
        <rFont val="Calibri"/>
        <family val="2"/>
        <charset val="238"/>
        <scheme val="minor"/>
      </rPr>
      <t>E</t>
    </r>
  </si>
  <si>
    <r>
      <rPr>
        <sz val="11"/>
        <color rgb="FF1A1A1A"/>
        <rFont val="Calibri"/>
        <family val="2"/>
        <charset val="238"/>
        <scheme val="minor"/>
      </rPr>
      <t>B.141</t>
    </r>
  </si>
  <si>
    <r>
      <rPr>
        <sz val="11"/>
        <color rgb="FF1A1A1A"/>
        <rFont val="Calibri"/>
        <family val="2"/>
        <charset val="238"/>
        <scheme val="minor"/>
      </rPr>
      <t>S</t>
    </r>
    <r>
      <rPr>
        <sz val="11"/>
        <rFont val="Calibri"/>
        <family val="2"/>
        <charset val="238"/>
        <scheme val="minor"/>
      </rPr>
      <t>U</t>
    </r>
    <r>
      <rPr>
        <sz val="11"/>
        <color rgb="FF1A1A1A"/>
        <rFont val="Calibri"/>
        <family val="2"/>
        <charset val="238"/>
        <scheme val="minor"/>
      </rPr>
      <t>CHÝ SKLAD</t>
    </r>
  </si>
  <si>
    <r>
      <rPr>
        <sz val="11"/>
        <color rgb="FF1A1A1A"/>
        <rFont val="Calibri"/>
        <family val="2"/>
        <charset val="238"/>
        <scheme val="minor"/>
      </rPr>
      <t>B.145</t>
    </r>
  </si>
  <si>
    <r>
      <rPr>
        <sz val="11"/>
        <color rgb="FF1A1A1A"/>
        <rFont val="Calibri"/>
        <family val="2"/>
        <charset val="238"/>
        <scheme val="minor"/>
      </rPr>
      <t xml:space="preserve">SKLAD </t>
    </r>
    <r>
      <rPr>
        <sz val="11"/>
        <rFont val="Calibri"/>
        <family val="2"/>
        <charset val="238"/>
        <scheme val="minor"/>
      </rPr>
      <t>P</t>
    </r>
    <r>
      <rPr>
        <sz val="11"/>
        <color rgb="FF1A1A1A"/>
        <rFont val="Calibri"/>
        <family val="2"/>
        <charset val="238"/>
        <scheme val="minor"/>
      </rPr>
      <t>EČ</t>
    </r>
    <r>
      <rPr>
        <sz val="11"/>
        <rFont val="Calibri"/>
        <family val="2"/>
        <charset val="238"/>
        <scheme val="minor"/>
      </rPr>
      <t>I</t>
    </r>
    <r>
      <rPr>
        <sz val="11"/>
        <color rgb="FF1A1A1A"/>
        <rFont val="Calibri"/>
        <family val="2"/>
        <charset val="238"/>
        <scheme val="minor"/>
      </rPr>
      <t>VA</t>
    </r>
  </si>
  <si>
    <r>
      <rPr>
        <sz val="11"/>
        <color rgb="FF1A1A1A"/>
        <rFont val="Calibri"/>
        <family val="2"/>
        <charset val="238"/>
        <scheme val="minor"/>
      </rPr>
      <t>B.</t>
    </r>
    <r>
      <rPr>
        <sz val="11"/>
        <rFont val="Calibri"/>
        <family val="2"/>
        <charset val="238"/>
        <scheme val="minor"/>
      </rPr>
      <t>1</t>
    </r>
    <r>
      <rPr>
        <sz val="11"/>
        <color rgb="FF1A1A1A"/>
        <rFont val="Calibri"/>
        <family val="2"/>
        <charset val="238"/>
        <scheme val="minor"/>
      </rPr>
      <t>4</t>
    </r>
    <r>
      <rPr>
        <sz val="11"/>
        <color rgb="FF363636"/>
        <rFont val="Calibri"/>
        <family val="2"/>
        <charset val="238"/>
        <scheme val="minor"/>
      </rPr>
      <t>6</t>
    </r>
  </si>
  <si>
    <r>
      <rPr>
        <sz val="11"/>
        <color rgb="FF1A1A1A"/>
        <rFont val="Calibri"/>
        <family val="2"/>
        <charset val="238"/>
        <scheme val="minor"/>
      </rPr>
      <t>SK</t>
    </r>
    <r>
      <rPr>
        <sz val="11"/>
        <rFont val="Calibri"/>
        <family val="2"/>
        <charset val="238"/>
        <scheme val="minor"/>
      </rPr>
      <t>L</t>
    </r>
    <r>
      <rPr>
        <sz val="11"/>
        <color rgb="FF1A1A1A"/>
        <rFont val="Calibri"/>
        <family val="2"/>
        <charset val="238"/>
        <scheme val="minor"/>
      </rPr>
      <t>A</t>
    </r>
    <r>
      <rPr>
        <sz val="11"/>
        <rFont val="Calibri"/>
        <family val="2"/>
        <charset val="238"/>
        <scheme val="minor"/>
      </rPr>
      <t xml:space="preserve">D </t>
    </r>
    <r>
      <rPr>
        <sz val="11"/>
        <color rgb="FF1A1A1A"/>
        <rFont val="Calibri"/>
        <family val="2"/>
        <charset val="238"/>
        <scheme val="minor"/>
      </rPr>
      <t>KONZERV</t>
    </r>
  </si>
  <si>
    <r>
      <rPr>
        <sz val="11"/>
        <color rgb="FF1A1A1A"/>
        <rFont val="Calibri"/>
        <family val="2"/>
        <charset val="238"/>
        <scheme val="minor"/>
      </rPr>
      <t>B.147</t>
    </r>
  </si>
  <si>
    <r>
      <rPr>
        <sz val="11"/>
        <color rgb="FF1A1A1A"/>
        <rFont val="Calibri"/>
        <family val="2"/>
        <charset val="238"/>
        <scheme val="minor"/>
      </rPr>
      <t>SK</t>
    </r>
    <r>
      <rPr>
        <sz val="11"/>
        <rFont val="Calibri"/>
        <family val="2"/>
        <charset val="238"/>
        <scheme val="minor"/>
      </rPr>
      <t>L</t>
    </r>
    <r>
      <rPr>
        <sz val="11"/>
        <color rgb="FF1A1A1A"/>
        <rFont val="Calibri"/>
        <family val="2"/>
        <charset val="238"/>
        <scheme val="minor"/>
      </rPr>
      <t>A</t>
    </r>
    <r>
      <rPr>
        <sz val="11"/>
        <rFont val="Calibri"/>
        <family val="2"/>
        <charset val="238"/>
        <scheme val="minor"/>
      </rPr>
      <t xml:space="preserve">D </t>
    </r>
    <r>
      <rPr>
        <sz val="11"/>
        <color rgb="FF1A1A1A"/>
        <rFont val="Calibri"/>
        <family val="2"/>
        <charset val="238"/>
        <scheme val="minor"/>
      </rPr>
      <t xml:space="preserve">AROMA POTRAV </t>
    </r>
    <r>
      <rPr>
        <sz val="11"/>
        <rFont val="Calibri"/>
        <family val="2"/>
        <charset val="238"/>
        <scheme val="minor"/>
      </rPr>
      <t>I</t>
    </r>
    <r>
      <rPr>
        <sz val="11"/>
        <color rgb="FF1A1A1A"/>
        <rFont val="Calibri"/>
        <family val="2"/>
        <charset val="238"/>
        <scheme val="minor"/>
      </rPr>
      <t>N</t>
    </r>
  </si>
  <si>
    <r>
      <rPr>
        <sz val="11"/>
        <color rgb="FF1A1A1A"/>
        <rFont val="Calibri"/>
        <family val="2"/>
        <charset val="238"/>
        <scheme val="minor"/>
      </rPr>
      <t>B</t>
    </r>
    <r>
      <rPr>
        <sz val="11"/>
        <color rgb="FF363636"/>
        <rFont val="Calibri"/>
        <family val="2"/>
        <charset val="238"/>
        <scheme val="minor"/>
      </rPr>
      <t>.</t>
    </r>
    <r>
      <rPr>
        <sz val="11"/>
        <color rgb="FF1A1A1A"/>
        <rFont val="Calibri"/>
        <family val="2"/>
        <charset val="238"/>
        <scheme val="minor"/>
      </rPr>
      <t>148</t>
    </r>
  </si>
  <si>
    <r>
      <rPr>
        <sz val="11"/>
        <color rgb="FF1A1A1A"/>
        <rFont val="Calibri"/>
        <family val="2"/>
        <charset val="238"/>
        <scheme val="minor"/>
      </rPr>
      <t>SK</t>
    </r>
    <r>
      <rPr>
        <sz val="11"/>
        <rFont val="Calibri"/>
        <family val="2"/>
        <charset val="238"/>
        <scheme val="minor"/>
      </rPr>
      <t>L</t>
    </r>
    <r>
      <rPr>
        <sz val="11"/>
        <color rgb="FF1A1A1A"/>
        <rFont val="Calibri"/>
        <family val="2"/>
        <charset val="238"/>
        <scheme val="minor"/>
      </rPr>
      <t>A</t>
    </r>
    <r>
      <rPr>
        <sz val="11"/>
        <rFont val="Calibri"/>
        <family val="2"/>
        <charset val="238"/>
        <scheme val="minor"/>
      </rPr>
      <t>D D</t>
    </r>
    <r>
      <rPr>
        <sz val="11"/>
        <color rgb="FF1A1A1A"/>
        <rFont val="Calibri"/>
        <family val="2"/>
        <charset val="238"/>
        <scheme val="minor"/>
      </rPr>
      <t>K</t>
    </r>
    <r>
      <rPr>
        <sz val="11"/>
        <rFont val="Calibri"/>
        <family val="2"/>
        <charset val="238"/>
        <scheme val="minor"/>
      </rPr>
      <t>P</t>
    </r>
  </si>
  <si>
    <r>
      <rPr>
        <sz val="11"/>
        <color rgb="FF1A1A1A"/>
        <rFont val="Calibri"/>
        <family val="2"/>
        <charset val="238"/>
        <scheme val="minor"/>
      </rPr>
      <t>B.</t>
    </r>
    <r>
      <rPr>
        <sz val="11"/>
        <rFont val="Calibri"/>
        <family val="2"/>
        <charset val="238"/>
        <scheme val="minor"/>
      </rPr>
      <t>1</t>
    </r>
    <r>
      <rPr>
        <sz val="11"/>
        <color rgb="FF1A1A1A"/>
        <rFont val="Calibri"/>
        <family val="2"/>
        <charset val="238"/>
        <scheme val="minor"/>
      </rPr>
      <t>49</t>
    </r>
  </si>
  <si>
    <r>
      <rPr>
        <sz val="11"/>
        <color rgb="FF1A1A1A"/>
        <rFont val="Calibri"/>
        <family val="2"/>
        <charset val="238"/>
        <scheme val="minor"/>
      </rPr>
      <t>SK</t>
    </r>
    <r>
      <rPr>
        <sz val="11"/>
        <rFont val="Calibri"/>
        <family val="2"/>
        <charset val="238"/>
        <scheme val="minor"/>
      </rPr>
      <t>L</t>
    </r>
    <r>
      <rPr>
        <sz val="11"/>
        <color rgb="FF1A1A1A"/>
        <rFont val="Calibri"/>
        <family val="2"/>
        <charset val="238"/>
        <scheme val="minor"/>
      </rPr>
      <t>AD Č</t>
    </r>
    <r>
      <rPr>
        <sz val="11"/>
        <rFont val="Calibri"/>
        <family val="2"/>
        <charset val="238"/>
        <scheme val="minor"/>
      </rPr>
      <t>I</t>
    </r>
    <r>
      <rPr>
        <sz val="11"/>
        <color rgb="FF1A1A1A"/>
        <rFont val="Calibri"/>
        <family val="2"/>
        <charset val="238"/>
        <scheme val="minor"/>
      </rPr>
      <t>S</t>
    </r>
    <r>
      <rPr>
        <sz val="11"/>
        <rFont val="Calibri"/>
        <family val="2"/>
        <charset val="238"/>
        <scheme val="minor"/>
      </rPr>
      <t>TÉ</t>
    </r>
    <r>
      <rPr>
        <sz val="11"/>
        <color rgb="FF1A1A1A"/>
        <rFont val="Calibri"/>
        <family val="2"/>
        <charset val="238"/>
        <scheme val="minor"/>
      </rPr>
      <t xml:space="preserve">HO </t>
    </r>
    <r>
      <rPr>
        <sz val="11"/>
        <rFont val="Calibri"/>
        <family val="2"/>
        <charset val="238"/>
        <scheme val="minor"/>
      </rPr>
      <t>P</t>
    </r>
    <r>
      <rPr>
        <sz val="11"/>
        <color rgb="FF1A1A1A"/>
        <rFont val="Calibri"/>
        <family val="2"/>
        <charset val="238"/>
        <scheme val="minor"/>
      </rPr>
      <t>RÁDLA</t>
    </r>
  </si>
  <si>
    <r>
      <rPr>
        <sz val="11"/>
        <color rgb="FF1A1A1A"/>
        <rFont val="Calibri"/>
        <family val="2"/>
        <charset val="238"/>
        <scheme val="minor"/>
      </rPr>
      <t>B</t>
    </r>
    <r>
      <rPr>
        <sz val="11"/>
        <color rgb="FF363636"/>
        <rFont val="Calibri"/>
        <family val="2"/>
        <charset val="238"/>
        <scheme val="minor"/>
      </rPr>
      <t>.</t>
    </r>
    <r>
      <rPr>
        <sz val="11"/>
        <rFont val="Calibri"/>
        <family val="2"/>
        <charset val="238"/>
        <scheme val="minor"/>
      </rPr>
      <t>1</t>
    </r>
    <r>
      <rPr>
        <sz val="11"/>
        <color rgb="FF1A1A1A"/>
        <rFont val="Calibri"/>
        <family val="2"/>
        <charset val="238"/>
        <scheme val="minor"/>
      </rPr>
      <t>50</t>
    </r>
  </si>
  <si>
    <r>
      <rPr>
        <sz val="11"/>
        <color rgb="FF1A1A1A"/>
        <rFont val="Calibri"/>
        <family val="2"/>
        <charset val="238"/>
        <scheme val="minor"/>
      </rPr>
      <t>SK</t>
    </r>
    <r>
      <rPr>
        <sz val="11"/>
        <rFont val="Calibri"/>
        <family val="2"/>
        <charset val="238"/>
        <scheme val="minor"/>
      </rPr>
      <t>L</t>
    </r>
    <r>
      <rPr>
        <sz val="11"/>
        <color rgb="FF1A1A1A"/>
        <rFont val="Calibri"/>
        <family val="2"/>
        <charset val="238"/>
        <scheme val="minor"/>
      </rPr>
      <t>A</t>
    </r>
    <r>
      <rPr>
        <sz val="11"/>
        <rFont val="Calibri"/>
        <family val="2"/>
        <charset val="238"/>
        <scheme val="minor"/>
      </rPr>
      <t xml:space="preserve">D </t>
    </r>
    <r>
      <rPr>
        <sz val="11"/>
        <color rgb="FF1A1A1A"/>
        <rFont val="Calibri"/>
        <family val="2"/>
        <charset val="238"/>
        <scheme val="minor"/>
      </rPr>
      <t>Š</t>
    </r>
    <r>
      <rPr>
        <sz val="11"/>
        <rFont val="Calibri"/>
        <family val="2"/>
        <charset val="238"/>
        <scheme val="minor"/>
      </rPr>
      <t>PI</t>
    </r>
    <r>
      <rPr>
        <sz val="11"/>
        <color rgb="FF1A1A1A"/>
        <rFont val="Calibri"/>
        <family val="2"/>
        <charset val="238"/>
        <scheme val="minor"/>
      </rPr>
      <t xml:space="preserve">NAV </t>
    </r>
    <r>
      <rPr>
        <sz val="11"/>
        <rFont val="Calibri"/>
        <family val="2"/>
        <charset val="238"/>
        <scheme val="minor"/>
      </rPr>
      <t>ÉH</t>
    </r>
    <r>
      <rPr>
        <sz val="11"/>
        <color rgb="FF1A1A1A"/>
        <rFont val="Calibri"/>
        <family val="2"/>
        <charset val="238"/>
        <scheme val="minor"/>
      </rPr>
      <t xml:space="preserve">O </t>
    </r>
    <r>
      <rPr>
        <sz val="11"/>
        <rFont val="Calibri"/>
        <family val="2"/>
        <charset val="238"/>
        <scheme val="minor"/>
      </rPr>
      <t>P</t>
    </r>
    <r>
      <rPr>
        <sz val="11"/>
        <color rgb="FF1A1A1A"/>
        <rFont val="Calibri"/>
        <family val="2"/>
        <charset val="238"/>
        <scheme val="minor"/>
      </rPr>
      <t>RÁ</t>
    </r>
    <r>
      <rPr>
        <sz val="11"/>
        <rFont val="Calibri"/>
        <family val="2"/>
        <charset val="238"/>
        <scheme val="minor"/>
      </rPr>
      <t>DL</t>
    </r>
    <r>
      <rPr>
        <sz val="11"/>
        <color rgb="FF1A1A1A"/>
        <rFont val="Calibri"/>
        <family val="2"/>
        <charset val="238"/>
        <scheme val="minor"/>
      </rPr>
      <t>A</t>
    </r>
  </si>
  <si>
    <r>
      <rPr>
        <sz val="11"/>
        <color rgb="FF1A1A1A"/>
        <rFont val="Calibri"/>
        <family val="2"/>
        <charset val="238"/>
        <scheme val="minor"/>
      </rPr>
      <t>B</t>
    </r>
    <r>
      <rPr>
        <sz val="11"/>
        <color rgb="FF363636"/>
        <rFont val="Calibri"/>
        <family val="2"/>
        <charset val="238"/>
        <scheme val="minor"/>
      </rPr>
      <t>.</t>
    </r>
    <r>
      <rPr>
        <sz val="11"/>
        <rFont val="Calibri"/>
        <family val="2"/>
        <charset val="238"/>
        <scheme val="minor"/>
      </rPr>
      <t>1</t>
    </r>
    <r>
      <rPr>
        <sz val="11"/>
        <color rgb="FF1A1A1A"/>
        <rFont val="Calibri"/>
        <family val="2"/>
        <charset val="238"/>
        <scheme val="minor"/>
      </rPr>
      <t>26</t>
    </r>
  </si>
  <si>
    <r>
      <rPr>
        <sz val="11"/>
        <color rgb="FF626262"/>
        <rFont val="Calibri"/>
        <family val="2"/>
        <charset val="238"/>
        <scheme val="minor"/>
      </rPr>
      <t>T</t>
    </r>
    <r>
      <rPr>
        <sz val="11"/>
        <color rgb="FF363636"/>
        <rFont val="Calibri"/>
        <family val="2"/>
        <charset val="238"/>
        <scheme val="minor"/>
      </rPr>
      <t>3</t>
    </r>
  </si>
  <si>
    <r>
      <rPr>
        <sz val="11"/>
        <color rgb="FF1A1A1A"/>
        <rFont val="Calibri"/>
        <family val="2"/>
        <charset val="238"/>
        <scheme val="minor"/>
      </rPr>
      <t>B</t>
    </r>
    <r>
      <rPr>
        <sz val="11"/>
        <color rgb="FF363636"/>
        <rFont val="Calibri"/>
        <family val="2"/>
        <charset val="238"/>
        <scheme val="minor"/>
      </rPr>
      <t>.</t>
    </r>
    <r>
      <rPr>
        <sz val="11"/>
        <rFont val="Calibri"/>
        <family val="2"/>
        <charset val="238"/>
        <scheme val="minor"/>
      </rPr>
      <t>1</t>
    </r>
    <r>
      <rPr>
        <sz val="11"/>
        <color rgb="FF363636"/>
        <rFont val="Calibri"/>
        <family val="2"/>
        <charset val="238"/>
        <scheme val="minor"/>
      </rPr>
      <t>2</t>
    </r>
    <r>
      <rPr>
        <sz val="11"/>
        <color rgb="FF1A1A1A"/>
        <rFont val="Calibri"/>
        <family val="2"/>
        <charset val="238"/>
        <scheme val="minor"/>
      </rPr>
      <t>7</t>
    </r>
  </si>
  <si>
    <r>
      <rPr>
        <sz val="11"/>
        <color rgb="FF1A1A1A"/>
        <rFont val="Calibri"/>
        <family val="2"/>
        <charset val="238"/>
        <scheme val="minor"/>
      </rPr>
      <t>KA</t>
    </r>
    <r>
      <rPr>
        <sz val="11"/>
        <rFont val="Calibri"/>
        <family val="2"/>
        <charset val="238"/>
        <scheme val="minor"/>
      </rPr>
      <t>N</t>
    </r>
    <r>
      <rPr>
        <sz val="11"/>
        <color rgb="FF1A1A1A"/>
        <rFont val="Calibri"/>
        <family val="2"/>
        <charset val="238"/>
        <scheme val="minor"/>
      </rPr>
      <t>C</t>
    </r>
    <r>
      <rPr>
        <sz val="11"/>
        <rFont val="Calibri"/>
        <family val="2"/>
        <charset val="238"/>
        <scheme val="minor"/>
      </rPr>
      <t>EL</t>
    </r>
    <r>
      <rPr>
        <sz val="11"/>
        <color rgb="FF1A1A1A"/>
        <rFont val="Calibri"/>
        <family val="2"/>
        <charset val="238"/>
        <scheme val="minor"/>
      </rPr>
      <t>Á</t>
    </r>
    <r>
      <rPr>
        <sz val="11"/>
        <rFont val="Calibri"/>
        <family val="2"/>
        <charset val="238"/>
        <scheme val="minor"/>
      </rPr>
      <t xml:space="preserve">Ř </t>
    </r>
    <r>
      <rPr>
        <sz val="11"/>
        <color rgb="FF1A1A1A"/>
        <rFont val="Calibri"/>
        <family val="2"/>
        <charset val="238"/>
        <scheme val="minor"/>
      </rPr>
      <t>Š</t>
    </r>
    <r>
      <rPr>
        <sz val="11"/>
        <rFont val="Calibri"/>
        <family val="2"/>
        <charset val="238"/>
        <scheme val="minor"/>
      </rPr>
      <t>ÉF</t>
    </r>
    <r>
      <rPr>
        <sz val="11"/>
        <color rgb="FF1A1A1A"/>
        <rFont val="Calibri"/>
        <family val="2"/>
        <charset val="238"/>
        <scheme val="minor"/>
      </rPr>
      <t>K</t>
    </r>
    <r>
      <rPr>
        <sz val="11"/>
        <rFont val="Calibri"/>
        <family val="2"/>
        <charset val="238"/>
        <scheme val="minor"/>
      </rPr>
      <t>U</t>
    </r>
    <r>
      <rPr>
        <sz val="11"/>
        <color rgb="FF1A1A1A"/>
        <rFont val="Calibri"/>
        <family val="2"/>
        <charset val="238"/>
        <scheme val="minor"/>
      </rPr>
      <t>C</t>
    </r>
    <r>
      <rPr>
        <sz val="11"/>
        <rFont val="Calibri"/>
        <family val="2"/>
        <charset val="238"/>
        <scheme val="minor"/>
      </rPr>
      <t>H</t>
    </r>
    <r>
      <rPr>
        <sz val="11"/>
        <color rgb="FF1A1A1A"/>
        <rFont val="Calibri"/>
        <family val="2"/>
        <charset val="238"/>
        <scheme val="minor"/>
      </rPr>
      <t>AŘ</t>
    </r>
    <r>
      <rPr>
        <sz val="11"/>
        <rFont val="Calibri"/>
        <family val="2"/>
        <charset val="238"/>
        <scheme val="minor"/>
      </rPr>
      <t>E</t>
    </r>
  </si>
  <si>
    <r>
      <rPr>
        <sz val="11"/>
        <color rgb="FF1A1A1A"/>
        <rFont val="Calibri"/>
        <family val="2"/>
        <charset val="238"/>
        <scheme val="minor"/>
      </rPr>
      <t>B.130b</t>
    </r>
  </si>
  <si>
    <r>
      <rPr>
        <sz val="11"/>
        <color rgb="FF1A1A1A"/>
        <rFont val="Calibri"/>
        <family val="2"/>
        <charset val="238"/>
        <scheme val="minor"/>
      </rPr>
      <t>SK</t>
    </r>
    <r>
      <rPr>
        <sz val="11"/>
        <rFont val="Calibri"/>
        <family val="2"/>
        <charset val="238"/>
        <scheme val="minor"/>
      </rPr>
      <t>L</t>
    </r>
    <r>
      <rPr>
        <sz val="11"/>
        <color rgb="FF363636"/>
        <rFont val="Calibri"/>
        <family val="2"/>
        <charset val="238"/>
        <scheme val="minor"/>
      </rPr>
      <t>A</t>
    </r>
    <r>
      <rPr>
        <sz val="11"/>
        <rFont val="Calibri"/>
        <family val="2"/>
        <charset val="238"/>
        <scheme val="minor"/>
      </rPr>
      <t xml:space="preserve">D </t>
    </r>
    <r>
      <rPr>
        <sz val="11"/>
        <color rgb="FF1A1A1A"/>
        <rFont val="Calibri"/>
        <family val="2"/>
        <charset val="238"/>
        <scheme val="minor"/>
      </rPr>
      <t>Z</t>
    </r>
    <r>
      <rPr>
        <sz val="11"/>
        <rFont val="Calibri"/>
        <family val="2"/>
        <charset val="238"/>
        <scheme val="minor"/>
      </rPr>
      <t>ELE</t>
    </r>
    <r>
      <rPr>
        <sz val="11"/>
        <color rgb="FF1A1A1A"/>
        <rFont val="Calibri"/>
        <family val="2"/>
        <charset val="238"/>
        <scheme val="minor"/>
      </rPr>
      <t>N</t>
    </r>
    <r>
      <rPr>
        <sz val="11"/>
        <rFont val="Calibri"/>
        <family val="2"/>
        <charset val="238"/>
        <scheme val="minor"/>
      </rPr>
      <t>I</t>
    </r>
    <r>
      <rPr>
        <sz val="11"/>
        <color rgb="FF1A1A1A"/>
        <rFont val="Calibri"/>
        <family val="2"/>
        <charset val="238"/>
        <scheme val="minor"/>
      </rPr>
      <t>NY</t>
    </r>
  </si>
  <si>
    <r>
      <rPr>
        <sz val="11"/>
        <color rgb="FF1A1A1A"/>
        <rFont val="Calibri"/>
        <family val="2"/>
        <charset val="238"/>
        <scheme val="minor"/>
      </rPr>
      <t>B.</t>
    </r>
    <r>
      <rPr>
        <sz val="11"/>
        <rFont val="Calibri"/>
        <family val="2"/>
        <charset val="238"/>
        <scheme val="minor"/>
      </rPr>
      <t>1</t>
    </r>
    <r>
      <rPr>
        <sz val="11"/>
        <color rgb="FF1A1A1A"/>
        <rFont val="Calibri"/>
        <family val="2"/>
        <charset val="238"/>
        <scheme val="minor"/>
      </rPr>
      <t>30c</t>
    </r>
  </si>
  <si>
    <r>
      <rPr>
        <sz val="11"/>
        <color rgb="FF1A1A1A"/>
        <rFont val="Calibri"/>
        <family val="2"/>
        <charset val="238"/>
        <scheme val="minor"/>
      </rPr>
      <t>SK</t>
    </r>
    <r>
      <rPr>
        <sz val="11"/>
        <rFont val="Calibri"/>
        <family val="2"/>
        <charset val="238"/>
        <scheme val="minor"/>
      </rPr>
      <t>L</t>
    </r>
    <r>
      <rPr>
        <sz val="11"/>
        <color rgb="FF1A1A1A"/>
        <rFont val="Calibri"/>
        <family val="2"/>
        <charset val="238"/>
        <scheme val="minor"/>
      </rPr>
      <t>A</t>
    </r>
    <r>
      <rPr>
        <sz val="11"/>
        <rFont val="Calibri"/>
        <family val="2"/>
        <charset val="238"/>
        <scheme val="minor"/>
      </rPr>
      <t>D ZELE</t>
    </r>
    <r>
      <rPr>
        <sz val="11"/>
        <color rgb="FF1A1A1A"/>
        <rFont val="Calibri"/>
        <family val="2"/>
        <charset val="238"/>
        <scheme val="minor"/>
      </rPr>
      <t>N</t>
    </r>
    <r>
      <rPr>
        <sz val="11"/>
        <rFont val="Calibri"/>
        <family val="2"/>
        <charset val="238"/>
        <scheme val="minor"/>
      </rPr>
      <t>I</t>
    </r>
    <r>
      <rPr>
        <sz val="11"/>
        <color rgb="FF1A1A1A"/>
        <rFont val="Calibri"/>
        <family val="2"/>
        <charset val="238"/>
        <scheme val="minor"/>
      </rPr>
      <t>NY</t>
    </r>
  </si>
  <si>
    <r>
      <rPr>
        <sz val="11"/>
        <color rgb="FF1A1A1A"/>
        <rFont val="Calibri"/>
        <family val="2"/>
        <charset val="238"/>
        <scheme val="minor"/>
      </rPr>
      <t>B.13</t>
    </r>
    <r>
      <rPr>
        <sz val="11"/>
        <rFont val="Calibri"/>
        <family val="2"/>
        <charset val="238"/>
        <scheme val="minor"/>
      </rPr>
      <t>1</t>
    </r>
    <r>
      <rPr>
        <sz val="11"/>
        <color rgb="FF1A1A1A"/>
        <rFont val="Calibri"/>
        <family val="2"/>
        <charset val="238"/>
        <scheme val="minor"/>
      </rPr>
      <t>b</t>
    </r>
  </si>
  <si>
    <r>
      <t>B</t>
    </r>
    <r>
      <rPr>
        <sz val="11"/>
        <color rgb="FF1A1A1A"/>
        <rFont val="Calibri"/>
        <family val="2"/>
        <charset val="238"/>
        <scheme val="minor"/>
      </rPr>
      <t>.</t>
    </r>
    <r>
      <rPr>
        <sz val="11"/>
        <rFont val="Calibri"/>
        <family val="2"/>
        <charset val="238"/>
        <scheme val="minor"/>
      </rPr>
      <t>1</t>
    </r>
    <r>
      <rPr>
        <sz val="11"/>
        <color rgb="FF1A1A1A"/>
        <rFont val="Calibri"/>
        <family val="2"/>
        <charset val="238"/>
        <scheme val="minor"/>
      </rPr>
      <t>3</t>
    </r>
    <r>
      <rPr>
        <sz val="11"/>
        <rFont val="Calibri"/>
        <family val="2"/>
        <charset val="238"/>
        <scheme val="minor"/>
      </rPr>
      <t>1</t>
    </r>
    <r>
      <rPr>
        <sz val="11"/>
        <color rgb="FF363636"/>
        <rFont val="Calibri"/>
        <family val="2"/>
        <charset val="238"/>
        <scheme val="minor"/>
      </rPr>
      <t>c</t>
    </r>
  </si>
  <si>
    <r>
      <rPr>
        <sz val="11"/>
        <color rgb="FF030303"/>
        <rFont val="Calibri"/>
        <family val="2"/>
        <charset val="238"/>
        <scheme val="minor"/>
      </rPr>
      <t>A</t>
    </r>
    <r>
      <rPr>
        <sz val="11"/>
        <color rgb="FF262626"/>
        <rFont val="Calibri"/>
        <family val="2"/>
        <charset val="238"/>
        <scheme val="minor"/>
      </rPr>
      <t>.</t>
    </r>
    <r>
      <rPr>
        <sz val="11"/>
        <color rgb="FF030303"/>
        <rFont val="Calibri"/>
        <family val="2"/>
        <charset val="238"/>
        <scheme val="minor"/>
      </rPr>
      <t>104</t>
    </r>
  </si>
  <si>
    <r>
      <rPr>
        <sz val="11"/>
        <color rgb="FF030303"/>
        <rFont val="Calibri"/>
        <family val="2"/>
        <charset val="238"/>
        <scheme val="minor"/>
      </rPr>
      <t>ZÁDVEŘÍ</t>
    </r>
  </si>
  <si>
    <r>
      <rPr>
        <sz val="11"/>
        <color rgb="FF030303"/>
        <rFont val="Calibri"/>
        <family val="2"/>
        <charset val="238"/>
        <scheme val="minor"/>
      </rPr>
      <t>H</t>
    </r>
    <r>
      <rPr>
        <sz val="11"/>
        <color rgb="FF232323"/>
        <rFont val="Calibri"/>
        <family val="2"/>
        <charset val="238"/>
        <scheme val="minor"/>
      </rPr>
      <t>.</t>
    </r>
    <r>
      <rPr>
        <sz val="11"/>
        <color rgb="FF030303"/>
        <rFont val="Calibri"/>
        <family val="2"/>
        <charset val="238"/>
        <scheme val="minor"/>
      </rPr>
      <t>105</t>
    </r>
  </si>
  <si>
    <r>
      <rPr>
        <sz val="11"/>
        <color rgb="FF030303"/>
        <rFont val="Calibri"/>
        <family val="2"/>
        <charset val="238"/>
        <scheme val="minor"/>
      </rPr>
      <t>P7</t>
    </r>
  </si>
  <si>
    <r>
      <rPr>
        <sz val="11"/>
        <color rgb="FF030303"/>
        <rFont val="Calibri"/>
        <family val="2"/>
        <charset val="238"/>
        <scheme val="minor"/>
      </rPr>
      <t>T</t>
    </r>
    <r>
      <rPr>
        <sz val="11"/>
        <color rgb="FF232323"/>
        <rFont val="Calibri"/>
        <family val="2"/>
        <charset val="238"/>
        <scheme val="minor"/>
      </rPr>
      <t>3</t>
    </r>
  </si>
  <si>
    <r>
      <rPr>
        <sz val="11"/>
        <color rgb="FF030303"/>
        <rFont val="Calibri"/>
        <family val="2"/>
        <charset val="238"/>
        <scheme val="minor"/>
      </rPr>
      <t>H</t>
    </r>
    <r>
      <rPr>
        <sz val="11"/>
        <color rgb="FF444444"/>
        <rFont val="Calibri"/>
        <family val="2"/>
        <charset val="238"/>
        <scheme val="minor"/>
      </rPr>
      <t>.</t>
    </r>
    <r>
      <rPr>
        <sz val="11"/>
        <color rgb="FF030303"/>
        <rFont val="Calibri"/>
        <family val="2"/>
        <charset val="238"/>
        <scheme val="minor"/>
      </rPr>
      <t>106</t>
    </r>
  </si>
  <si>
    <r>
      <rPr>
        <sz val="11"/>
        <color rgb="FF030303"/>
        <rFont val="Calibri"/>
        <family val="2"/>
        <charset val="238"/>
        <scheme val="minor"/>
      </rPr>
      <t>H</t>
    </r>
    <r>
      <rPr>
        <sz val="11"/>
        <color rgb="FF444444"/>
        <rFont val="Calibri"/>
        <family val="2"/>
        <charset val="238"/>
        <scheme val="minor"/>
      </rPr>
      <t>.</t>
    </r>
    <r>
      <rPr>
        <sz val="11"/>
        <color rgb="FF030303"/>
        <rFont val="Calibri"/>
        <family val="2"/>
        <charset val="238"/>
        <scheme val="minor"/>
      </rPr>
      <t>118</t>
    </r>
  </si>
  <si>
    <r>
      <rPr>
        <sz val="11"/>
        <color rgb="FF030303"/>
        <rFont val="Calibri"/>
        <family val="2"/>
        <charset val="238"/>
        <scheme val="minor"/>
      </rPr>
      <t>CHODBA ADMINISTRATIVA</t>
    </r>
  </si>
  <si>
    <r>
      <rPr>
        <sz val="11"/>
        <color rgb="FF030303"/>
        <rFont val="Calibri"/>
        <family val="2"/>
        <charset val="238"/>
        <scheme val="minor"/>
      </rPr>
      <t>H.107</t>
    </r>
  </si>
  <si>
    <r>
      <rPr>
        <sz val="11"/>
        <color rgb="FF030303"/>
        <rFont val="Calibri"/>
        <family val="2"/>
        <charset val="238"/>
        <scheme val="minor"/>
      </rPr>
      <t>H</t>
    </r>
    <r>
      <rPr>
        <sz val="11"/>
        <color rgb="FF232323"/>
        <rFont val="Calibri"/>
        <family val="2"/>
        <charset val="238"/>
        <scheme val="minor"/>
      </rPr>
      <t>.</t>
    </r>
    <r>
      <rPr>
        <sz val="11"/>
        <color rgb="FF030303"/>
        <rFont val="Calibri"/>
        <family val="2"/>
        <charset val="238"/>
        <scheme val="minor"/>
      </rPr>
      <t>108</t>
    </r>
  </si>
  <si>
    <r>
      <rPr>
        <sz val="11"/>
        <color rgb="FF030303"/>
        <rFont val="Calibri"/>
        <family val="2"/>
        <charset val="238"/>
        <scheme val="minor"/>
      </rPr>
      <t>A</t>
    </r>
    <r>
      <rPr>
        <sz val="11"/>
        <color rgb="FF525252"/>
        <rFont val="Calibri"/>
        <family val="2"/>
        <charset val="238"/>
        <scheme val="minor"/>
      </rPr>
      <t>.</t>
    </r>
    <r>
      <rPr>
        <sz val="11"/>
        <color rgb="FF030303"/>
        <rFont val="Calibri"/>
        <family val="2"/>
        <charset val="238"/>
        <scheme val="minor"/>
      </rPr>
      <t>113</t>
    </r>
  </si>
  <si>
    <r>
      <rPr>
        <sz val="11"/>
        <color rgb="FF030303"/>
        <rFont val="Calibri"/>
        <family val="2"/>
        <charset val="238"/>
        <scheme val="minor"/>
      </rPr>
      <t>INFUZNÍ STACIONÁŘ</t>
    </r>
  </si>
  <si>
    <r>
      <rPr>
        <sz val="11"/>
        <color rgb="FF1A1A1A"/>
        <rFont val="Calibri"/>
        <family val="2"/>
        <charset val="238"/>
        <scheme val="minor"/>
      </rPr>
      <t>B</t>
    </r>
    <r>
      <rPr>
        <sz val="11"/>
        <color rgb="FF363636"/>
        <rFont val="Calibri"/>
        <family val="2"/>
        <charset val="238"/>
        <scheme val="minor"/>
      </rPr>
      <t>.</t>
    </r>
    <r>
      <rPr>
        <sz val="11"/>
        <color rgb="FF1A1A1A"/>
        <rFont val="Calibri"/>
        <family val="2"/>
        <charset val="238"/>
        <scheme val="minor"/>
      </rPr>
      <t>107</t>
    </r>
  </si>
  <si>
    <r>
      <t>DIET</t>
    </r>
    <r>
      <rPr>
        <sz val="11"/>
        <color rgb="FF1A1A1A"/>
        <rFont val="Calibri"/>
        <family val="2"/>
        <charset val="238"/>
        <scheme val="minor"/>
      </rPr>
      <t>N</t>
    </r>
    <r>
      <rPr>
        <sz val="11"/>
        <rFont val="Calibri"/>
        <family val="2"/>
        <charset val="238"/>
        <scheme val="minor"/>
      </rPr>
      <t xml:space="preserve">Í </t>
    </r>
    <r>
      <rPr>
        <sz val="11"/>
        <color rgb="FF1A1A1A"/>
        <rFont val="Calibri"/>
        <family val="2"/>
        <charset val="238"/>
        <scheme val="minor"/>
      </rPr>
      <t>S</t>
    </r>
    <r>
      <rPr>
        <sz val="11"/>
        <rFont val="Calibri"/>
        <family val="2"/>
        <charset val="238"/>
        <scheme val="minor"/>
      </rPr>
      <t>E</t>
    </r>
    <r>
      <rPr>
        <sz val="11"/>
        <color rgb="FF1A1A1A"/>
        <rFont val="Calibri"/>
        <family val="2"/>
        <charset val="238"/>
        <scheme val="minor"/>
      </rPr>
      <t>STRA</t>
    </r>
  </si>
  <si>
    <r>
      <rPr>
        <sz val="11"/>
        <color rgb="FF030303"/>
        <rFont val="Calibri"/>
        <family val="2"/>
        <charset val="238"/>
        <scheme val="minor"/>
      </rPr>
      <t>A.109</t>
    </r>
  </si>
  <si>
    <r>
      <rPr>
        <sz val="11"/>
        <color rgb="FF030303"/>
        <rFont val="Calibri"/>
        <family val="2"/>
        <charset val="238"/>
        <scheme val="minor"/>
      </rPr>
      <t>DENNÍ MÍSTNOST</t>
    </r>
  </si>
  <si>
    <r>
      <rPr>
        <sz val="11"/>
        <color rgb="FF030303"/>
        <rFont val="Calibri"/>
        <family val="2"/>
        <charset val="238"/>
        <scheme val="minor"/>
      </rPr>
      <t>T</t>
    </r>
    <r>
      <rPr>
        <sz val="11"/>
        <color rgb="FF262626"/>
        <rFont val="Calibri"/>
        <family val="2"/>
        <charset val="238"/>
        <scheme val="minor"/>
      </rPr>
      <t>3</t>
    </r>
  </si>
  <si>
    <r>
      <t>B</t>
    </r>
    <r>
      <rPr>
        <sz val="11"/>
        <color rgb="FF1A1A1A"/>
        <rFont val="Calibri"/>
        <family val="2"/>
        <charset val="238"/>
        <scheme val="minor"/>
      </rPr>
      <t>.105</t>
    </r>
  </si>
  <si>
    <r>
      <rPr>
        <sz val="11"/>
        <color rgb="FF1A1A1A"/>
        <rFont val="Calibri"/>
        <family val="2"/>
        <charset val="238"/>
        <scheme val="minor"/>
      </rPr>
      <t>D</t>
    </r>
    <r>
      <rPr>
        <sz val="11"/>
        <rFont val="Calibri"/>
        <family val="2"/>
        <charset val="238"/>
        <scheme val="minor"/>
      </rPr>
      <t>E</t>
    </r>
    <r>
      <rPr>
        <sz val="11"/>
        <color rgb="FF1A1A1A"/>
        <rFont val="Calibri"/>
        <family val="2"/>
        <charset val="238"/>
        <scheme val="minor"/>
      </rPr>
      <t>N</t>
    </r>
    <r>
      <rPr>
        <sz val="11"/>
        <rFont val="Calibri"/>
        <family val="2"/>
        <charset val="238"/>
        <scheme val="minor"/>
      </rPr>
      <t xml:space="preserve">NÍ </t>
    </r>
    <r>
      <rPr>
        <sz val="11"/>
        <color rgb="FF1A1A1A"/>
        <rFont val="Calibri"/>
        <family val="2"/>
        <charset val="238"/>
        <scheme val="minor"/>
      </rPr>
      <t>M</t>
    </r>
    <r>
      <rPr>
        <sz val="11"/>
        <rFont val="Calibri"/>
        <family val="2"/>
        <charset val="238"/>
        <scheme val="minor"/>
      </rPr>
      <t>Í</t>
    </r>
    <r>
      <rPr>
        <sz val="11"/>
        <color rgb="FF1A1A1A"/>
        <rFont val="Calibri"/>
        <family val="2"/>
        <charset val="238"/>
        <scheme val="minor"/>
      </rPr>
      <t>S</t>
    </r>
    <r>
      <rPr>
        <sz val="11"/>
        <rFont val="Calibri"/>
        <family val="2"/>
        <charset val="238"/>
        <scheme val="minor"/>
      </rPr>
      <t xml:space="preserve">TN </t>
    </r>
    <r>
      <rPr>
        <sz val="11"/>
        <color rgb="FF1A1A1A"/>
        <rFont val="Calibri"/>
        <family val="2"/>
        <charset val="238"/>
        <scheme val="minor"/>
      </rPr>
      <t xml:space="preserve">OS </t>
    </r>
    <r>
      <rPr>
        <sz val="11"/>
        <rFont val="Calibri"/>
        <family val="2"/>
        <charset val="238"/>
        <scheme val="minor"/>
      </rPr>
      <t>T</t>
    </r>
  </si>
  <si>
    <r>
      <rPr>
        <sz val="11"/>
        <color rgb="FF1A1A1A"/>
        <rFont val="Calibri"/>
        <family val="2"/>
        <charset val="238"/>
        <scheme val="minor"/>
      </rPr>
      <t>P</t>
    </r>
    <r>
      <rPr>
        <sz val="11"/>
        <color rgb="FF363636"/>
        <rFont val="Calibri"/>
        <family val="2"/>
        <charset val="238"/>
        <scheme val="minor"/>
      </rPr>
      <t>8</t>
    </r>
  </si>
  <si>
    <r>
      <rPr>
        <sz val="11"/>
        <color rgb="FF1A1A1A"/>
        <rFont val="Calibri"/>
        <family val="2"/>
        <charset val="238"/>
        <scheme val="minor"/>
      </rPr>
      <t>B.106</t>
    </r>
  </si>
  <si>
    <r>
      <rPr>
        <sz val="11"/>
        <color rgb="FF1A1A1A"/>
        <rFont val="Calibri"/>
        <family val="2"/>
        <charset val="238"/>
        <scheme val="minor"/>
      </rPr>
      <t>KANC</t>
    </r>
    <r>
      <rPr>
        <sz val="11"/>
        <rFont val="Calibri"/>
        <family val="2"/>
        <charset val="238"/>
        <scheme val="minor"/>
      </rPr>
      <t>EL</t>
    </r>
    <r>
      <rPr>
        <sz val="11"/>
        <color rgb="FF1A1A1A"/>
        <rFont val="Calibri"/>
        <family val="2"/>
        <charset val="238"/>
        <scheme val="minor"/>
      </rPr>
      <t>ÁŘ</t>
    </r>
  </si>
  <si>
    <r>
      <rPr>
        <sz val="11"/>
        <color rgb="FF030303"/>
        <rFont val="Calibri"/>
        <family val="2"/>
        <charset val="238"/>
        <scheme val="minor"/>
      </rPr>
      <t>H</t>
    </r>
    <r>
      <rPr>
        <sz val="11"/>
        <color rgb="FF595959"/>
        <rFont val="Calibri"/>
        <family val="2"/>
        <charset val="238"/>
        <scheme val="minor"/>
      </rPr>
      <t>.</t>
    </r>
    <r>
      <rPr>
        <sz val="11"/>
        <color rgb="FF030303"/>
        <rFont val="Calibri"/>
        <family val="2"/>
        <charset val="238"/>
        <scheme val="minor"/>
      </rPr>
      <t>119</t>
    </r>
  </si>
  <si>
    <r>
      <rPr>
        <sz val="11"/>
        <color rgb="FF030303"/>
        <rFont val="Calibri"/>
        <family val="2"/>
        <charset val="238"/>
        <scheme val="minor"/>
      </rPr>
      <t>KANCELÁŘ OSTRAHA</t>
    </r>
  </si>
  <si>
    <r>
      <rPr>
        <sz val="11"/>
        <color rgb="FF030303"/>
        <rFont val="Calibri"/>
        <family val="2"/>
        <charset val="238"/>
        <scheme val="minor"/>
      </rPr>
      <t>2800</t>
    </r>
    <r>
      <rPr>
        <sz val="11"/>
        <color rgb="FF232323"/>
        <rFont val="Calibri"/>
        <family val="2"/>
        <charset val="238"/>
        <scheme val="minor"/>
      </rPr>
      <t xml:space="preserve">, </t>
    </r>
    <r>
      <rPr>
        <sz val="11"/>
        <color rgb="FF030303"/>
        <rFont val="Calibri"/>
        <family val="2"/>
        <charset val="238"/>
        <scheme val="minor"/>
      </rPr>
      <t>3000</t>
    </r>
  </si>
  <si>
    <r>
      <rPr>
        <sz val="11"/>
        <color rgb="FF030303"/>
        <rFont val="Calibri"/>
        <family val="2"/>
        <charset val="238"/>
        <scheme val="minor"/>
      </rPr>
      <t>H</t>
    </r>
    <r>
      <rPr>
        <sz val="11"/>
        <color rgb="FF444444"/>
        <rFont val="Calibri"/>
        <family val="2"/>
        <charset val="238"/>
        <scheme val="minor"/>
      </rPr>
      <t>.</t>
    </r>
    <r>
      <rPr>
        <sz val="11"/>
        <color rgb="FF030303"/>
        <rFont val="Calibri"/>
        <family val="2"/>
        <charset val="238"/>
        <scheme val="minor"/>
      </rPr>
      <t>120</t>
    </r>
  </si>
  <si>
    <r>
      <rPr>
        <sz val="11"/>
        <color rgb="FF030303"/>
        <rFont val="Calibri"/>
        <family val="2"/>
        <charset val="238"/>
        <scheme val="minor"/>
      </rPr>
      <t>KANCELÁŘ PROVOZNÍ</t>
    </r>
  </si>
  <si>
    <r>
      <rPr>
        <sz val="11"/>
        <color rgb="FF030303"/>
        <rFont val="Calibri"/>
        <family val="2"/>
        <charset val="238"/>
        <scheme val="minor"/>
      </rPr>
      <t>2800, 3000</t>
    </r>
  </si>
  <si>
    <r>
      <rPr>
        <sz val="11"/>
        <color rgb="FF030303"/>
        <rFont val="Calibri"/>
        <family val="2"/>
        <charset val="238"/>
        <scheme val="minor"/>
      </rPr>
      <t>H</t>
    </r>
    <r>
      <rPr>
        <sz val="11"/>
        <color rgb="FF444444"/>
        <rFont val="Calibri"/>
        <family val="2"/>
        <charset val="238"/>
        <scheme val="minor"/>
      </rPr>
      <t>.</t>
    </r>
    <r>
      <rPr>
        <sz val="11"/>
        <color rgb="FF030303"/>
        <rFont val="Calibri"/>
        <family val="2"/>
        <charset val="238"/>
        <scheme val="minor"/>
      </rPr>
      <t>121</t>
    </r>
  </si>
  <si>
    <r>
      <rPr>
        <sz val="11"/>
        <color rgb="FF030303"/>
        <rFont val="Calibri"/>
        <family val="2"/>
        <charset val="238"/>
        <scheme val="minor"/>
      </rPr>
      <t>KANCELÁŘ VRCHNÍ SESTRA</t>
    </r>
  </si>
  <si>
    <r>
      <rPr>
        <sz val="11"/>
        <color rgb="FF030303"/>
        <rFont val="Calibri"/>
        <family val="2"/>
        <charset val="238"/>
        <scheme val="minor"/>
      </rPr>
      <t>H</t>
    </r>
    <r>
      <rPr>
        <sz val="11"/>
        <color rgb="FF595959"/>
        <rFont val="Calibri"/>
        <family val="2"/>
        <charset val="238"/>
        <scheme val="minor"/>
      </rPr>
      <t>.</t>
    </r>
    <r>
      <rPr>
        <sz val="11"/>
        <color rgb="FF030303"/>
        <rFont val="Calibri"/>
        <family val="2"/>
        <charset val="238"/>
        <scheme val="minor"/>
      </rPr>
      <t>122</t>
    </r>
  </si>
  <si>
    <r>
      <rPr>
        <sz val="11"/>
        <color rgb="FF030303"/>
        <rFont val="Calibri"/>
        <family val="2"/>
        <charset val="238"/>
        <scheme val="minor"/>
      </rPr>
      <t>KANCELÁŘ EKONOM</t>
    </r>
  </si>
  <si>
    <r>
      <rPr>
        <sz val="11"/>
        <color rgb="FF030303"/>
        <rFont val="Calibri"/>
        <family val="2"/>
        <charset val="238"/>
        <scheme val="minor"/>
      </rPr>
      <t>H</t>
    </r>
    <r>
      <rPr>
        <sz val="11"/>
        <color rgb="FF232323"/>
        <rFont val="Calibri"/>
        <family val="2"/>
        <charset val="238"/>
        <scheme val="minor"/>
      </rPr>
      <t>.</t>
    </r>
    <r>
      <rPr>
        <sz val="11"/>
        <color rgb="FF030303"/>
        <rFont val="Calibri"/>
        <family val="2"/>
        <charset val="238"/>
        <scheme val="minor"/>
      </rPr>
      <t>123</t>
    </r>
  </si>
  <si>
    <r>
      <rPr>
        <sz val="11"/>
        <color rgb="FF030303"/>
        <rFont val="Calibri"/>
        <family val="2"/>
        <charset val="238"/>
        <scheme val="minor"/>
      </rPr>
      <t>KANCELÁŘ SEKRETARIÁT</t>
    </r>
  </si>
  <si>
    <r>
      <rPr>
        <sz val="11"/>
        <color rgb="FF030303"/>
        <rFont val="Calibri"/>
        <family val="2"/>
        <charset val="238"/>
        <scheme val="minor"/>
      </rPr>
      <t>H</t>
    </r>
    <r>
      <rPr>
        <sz val="11"/>
        <color rgb="FF444444"/>
        <rFont val="Calibri"/>
        <family val="2"/>
        <charset val="238"/>
        <scheme val="minor"/>
      </rPr>
      <t>.</t>
    </r>
    <r>
      <rPr>
        <sz val="11"/>
        <color rgb="FF030303"/>
        <rFont val="Calibri"/>
        <family val="2"/>
        <charset val="238"/>
        <scheme val="minor"/>
      </rPr>
      <t>109</t>
    </r>
  </si>
  <si>
    <r>
      <rPr>
        <sz val="11"/>
        <color rgb="FF030303"/>
        <rFont val="Calibri"/>
        <family val="2"/>
        <charset val="238"/>
        <scheme val="minor"/>
      </rPr>
      <t>KAPLE</t>
    </r>
  </si>
  <si>
    <r>
      <rPr>
        <sz val="11"/>
        <color rgb="FF030303"/>
        <rFont val="Calibri"/>
        <family val="2"/>
        <charset val="238"/>
        <scheme val="minor"/>
      </rPr>
      <t>H</t>
    </r>
    <r>
      <rPr>
        <sz val="11"/>
        <color rgb="FF232323"/>
        <rFont val="Calibri"/>
        <family val="2"/>
        <charset val="238"/>
        <scheme val="minor"/>
      </rPr>
      <t>.</t>
    </r>
    <r>
      <rPr>
        <sz val="11"/>
        <color rgb="FF030303"/>
        <rFont val="Calibri"/>
        <family val="2"/>
        <charset val="238"/>
        <scheme val="minor"/>
      </rPr>
      <t>110</t>
    </r>
  </si>
  <si>
    <r>
      <rPr>
        <sz val="11"/>
        <color rgb="FF030303"/>
        <rFont val="Calibri"/>
        <family val="2"/>
        <charset val="238"/>
        <scheme val="minor"/>
      </rPr>
      <t>PŘÍJEM PACIENTŮ</t>
    </r>
  </si>
  <si>
    <r>
      <rPr>
        <sz val="11"/>
        <color rgb="FF030303"/>
        <rFont val="Calibri"/>
        <family val="2"/>
        <charset val="238"/>
        <scheme val="minor"/>
      </rPr>
      <t>H</t>
    </r>
    <r>
      <rPr>
        <sz val="11"/>
        <color rgb="FF232323"/>
        <rFont val="Calibri"/>
        <family val="2"/>
        <charset val="238"/>
        <scheme val="minor"/>
      </rPr>
      <t>.</t>
    </r>
    <r>
      <rPr>
        <sz val="11"/>
        <color rgb="FF030303"/>
        <rFont val="Calibri"/>
        <family val="2"/>
        <charset val="238"/>
        <scheme val="minor"/>
      </rPr>
      <t>111</t>
    </r>
  </si>
  <si>
    <r>
      <rPr>
        <sz val="11"/>
        <color rgb="FF030303"/>
        <rFont val="Calibri"/>
        <family val="2"/>
        <charset val="238"/>
        <scheme val="minor"/>
      </rPr>
      <t>H.124</t>
    </r>
  </si>
  <si>
    <r>
      <rPr>
        <sz val="11"/>
        <color rgb="FF030303"/>
        <rFont val="Calibri"/>
        <family val="2"/>
        <charset val="238"/>
        <scheme val="minor"/>
      </rPr>
      <t>KANCELÁŘ ŘEDITEL</t>
    </r>
  </si>
  <si>
    <r>
      <rPr>
        <sz val="11"/>
        <color rgb="FF030303"/>
        <rFont val="Calibri"/>
        <family val="2"/>
        <charset val="238"/>
        <scheme val="minor"/>
      </rPr>
      <t>H.125</t>
    </r>
  </si>
  <si>
    <r>
      <rPr>
        <sz val="11"/>
        <color rgb="FF030303"/>
        <rFont val="Calibri"/>
        <family val="2"/>
        <charset val="238"/>
        <scheme val="minor"/>
      </rPr>
      <t>KANCELÁŘ SOCIÁLNÍ PRACOVNÍCÍ</t>
    </r>
  </si>
  <si>
    <r>
      <rPr>
        <sz val="11"/>
        <color rgb="FF030303"/>
        <rFont val="Calibri"/>
        <family val="2"/>
        <charset val="238"/>
        <scheme val="minor"/>
      </rPr>
      <t>H</t>
    </r>
    <r>
      <rPr>
        <sz val="11"/>
        <color rgb="FF444444"/>
        <rFont val="Calibri"/>
        <family val="2"/>
        <charset val="238"/>
        <scheme val="minor"/>
      </rPr>
      <t>.</t>
    </r>
    <r>
      <rPr>
        <sz val="11"/>
        <color rgb="FF030303"/>
        <rFont val="Calibri"/>
        <family val="2"/>
        <charset val="238"/>
        <scheme val="minor"/>
      </rPr>
      <t>126</t>
    </r>
  </si>
  <si>
    <r>
      <rPr>
        <sz val="11"/>
        <color rgb="FF030303"/>
        <rFont val="Calibri"/>
        <family val="2"/>
        <charset val="238"/>
        <scheme val="minor"/>
      </rPr>
      <t>H</t>
    </r>
    <r>
      <rPr>
        <sz val="11"/>
        <color rgb="FF444444"/>
        <rFont val="Calibri"/>
        <family val="2"/>
        <charset val="238"/>
        <scheme val="minor"/>
      </rPr>
      <t>.</t>
    </r>
    <r>
      <rPr>
        <sz val="11"/>
        <color rgb="FF030303"/>
        <rFont val="Calibri"/>
        <family val="2"/>
        <charset val="238"/>
        <scheme val="minor"/>
      </rPr>
      <t>127</t>
    </r>
  </si>
  <si>
    <r>
      <rPr>
        <sz val="11"/>
        <color rgb="FF1A1A1A"/>
        <rFont val="Calibri"/>
        <family val="2"/>
        <charset val="238"/>
        <scheme val="minor"/>
      </rPr>
      <t>B.108</t>
    </r>
    <r>
      <rPr>
        <sz val="11"/>
        <rFont val="Calibri"/>
        <family val="2"/>
        <charset val="238"/>
        <scheme val="minor"/>
      </rPr>
      <t>a</t>
    </r>
  </si>
  <si>
    <r>
      <t>P</t>
    </r>
    <r>
      <rPr>
        <sz val="11"/>
        <color rgb="FF1A1A1A"/>
        <rFont val="Calibri"/>
        <family val="2"/>
        <charset val="238"/>
        <scheme val="minor"/>
      </rPr>
      <t>Ř</t>
    </r>
    <r>
      <rPr>
        <sz val="11"/>
        <rFont val="Calibri"/>
        <family val="2"/>
        <charset val="238"/>
        <scheme val="minor"/>
      </rPr>
      <t>ED</t>
    </r>
    <r>
      <rPr>
        <sz val="11"/>
        <color rgb="FF1A1A1A"/>
        <rFont val="Calibri"/>
        <family val="2"/>
        <charset val="238"/>
        <scheme val="minor"/>
      </rPr>
      <t>S</t>
    </r>
    <r>
      <rPr>
        <sz val="11"/>
        <rFont val="Calibri"/>
        <family val="2"/>
        <charset val="238"/>
        <scheme val="minor"/>
      </rPr>
      <t>Í</t>
    </r>
    <r>
      <rPr>
        <sz val="11"/>
        <color rgb="FF1A1A1A"/>
        <rFont val="Calibri"/>
        <family val="2"/>
        <charset val="238"/>
        <scheme val="minor"/>
      </rPr>
      <t>Ň S WC M</t>
    </r>
    <r>
      <rPr>
        <sz val="11"/>
        <rFont val="Calibri"/>
        <family val="2"/>
        <charset val="238"/>
        <scheme val="minor"/>
      </rPr>
      <t>U</t>
    </r>
    <r>
      <rPr>
        <sz val="11"/>
        <color rgb="FF1A1A1A"/>
        <rFont val="Calibri"/>
        <family val="2"/>
        <charset val="238"/>
        <scheme val="minor"/>
      </rPr>
      <t>Ž</t>
    </r>
    <r>
      <rPr>
        <sz val="11"/>
        <rFont val="Calibri"/>
        <family val="2"/>
        <charset val="238"/>
        <scheme val="minor"/>
      </rPr>
      <t>I</t>
    </r>
  </si>
  <si>
    <r>
      <rPr>
        <sz val="11"/>
        <color rgb="FF1A1A1A"/>
        <rFont val="Calibri"/>
        <family val="2"/>
        <charset val="238"/>
        <scheme val="minor"/>
      </rPr>
      <t>B.108</t>
    </r>
    <r>
      <rPr>
        <sz val="11"/>
        <rFont val="Calibri"/>
        <family val="2"/>
        <charset val="238"/>
        <scheme val="minor"/>
      </rPr>
      <t>b</t>
    </r>
  </si>
  <si>
    <r>
      <rPr>
        <sz val="11"/>
        <color rgb="FF1A1A1A"/>
        <rFont val="Calibri"/>
        <family val="2"/>
        <charset val="238"/>
        <scheme val="minor"/>
      </rPr>
      <t>WC M</t>
    </r>
    <r>
      <rPr>
        <sz val="11"/>
        <rFont val="Calibri"/>
        <family val="2"/>
        <charset val="238"/>
        <scheme val="minor"/>
      </rPr>
      <t>U</t>
    </r>
    <r>
      <rPr>
        <sz val="11"/>
        <color rgb="FF1A1A1A"/>
        <rFont val="Calibri"/>
        <family val="2"/>
        <charset val="238"/>
        <scheme val="minor"/>
      </rPr>
      <t>Ž</t>
    </r>
    <r>
      <rPr>
        <sz val="11"/>
        <rFont val="Calibri"/>
        <family val="2"/>
        <charset val="238"/>
        <scheme val="minor"/>
      </rPr>
      <t>I</t>
    </r>
  </si>
  <si>
    <r>
      <rPr>
        <sz val="11"/>
        <color rgb="FF1A1A1A"/>
        <rFont val="Calibri"/>
        <family val="2"/>
        <charset val="238"/>
        <scheme val="minor"/>
      </rPr>
      <t>B</t>
    </r>
    <r>
      <rPr>
        <sz val="11"/>
        <color rgb="FF363636"/>
        <rFont val="Calibri"/>
        <family val="2"/>
        <charset val="238"/>
        <scheme val="minor"/>
      </rPr>
      <t>.</t>
    </r>
    <r>
      <rPr>
        <sz val="11"/>
        <color rgb="FF1A1A1A"/>
        <rFont val="Calibri"/>
        <family val="2"/>
        <charset val="238"/>
        <scheme val="minor"/>
      </rPr>
      <t>109</t>
    </r>
    <r>
      <rPr>
        <sz val="11"/>
        <rFont val="Calibri"/>
        <family val="2"/>
        <charset val="238"/>
        <scheme val="minor"/>
      </rPr>
      <t>a</t>
    </r>
  </si>
  <si>
    <r>
      <rPr>
        <sz val="11"/>
        <color rgb="FF1A1A1A"/>
        <rFont val="Calibri"/>
        <family val="2"/>
        <charset val="238"/>
        <scheme val="minor"/>
      </rPr>
      <t>PŘ</t>
    </r>
    <r>
      <rPr>
        <sz val="11"/>
        <rFont val="Calibri"/>
        <family val="2"/>
        <charset val="238"/>
        <scheme val="minor"/>
      </rPr>
      <t>E</t>
    </r>
    <r>
      <rPr>
        <sz val="11"/>
        <color rgb="FF1A1A1A"/>
        <rFont val="Calibri"/>
        <family val="2"/>
        <charset val="238"/>
        <scheme val="minor"/>
      </rPr>
      <t>DSÍŇ S WC Ž</t>
    </r>
    <r>
      <rPr>
        <sz val="11"/>
        <rFont val="Calibri"/>
        <family val="2"/>
        <charset val="238"/>
        <scheme val="minor"/>
      </rPr>
      <t>E</t>
    </r>
    <r>
      <rPr>
        <sz val="11"/>
        <color rgb="FF1A1A1A"/>
        <rFont val="Calibri"/>
        <family val="2"/>
        <charset val="238"/>
        <scheme val="minor"/>
      </rPr>
      <t>NY</t>
    </r>
  </si>
  <si>
    <r>
      <rPr>
        <sz val="11"/>
        <color rgb="FF1A1A1A"/>
        <rFont val="Calibri"/>
        <family val="2"/>
        <charset val="238"/>
        <scheme val="minor"/>
      </rPr>
      <t>P</t>
    </r>
    <r>
      <rPr>
        <sz val="11"/>
        <color rgb="FF363636"/>
        <rFont val="Calibri"/>
        <family val="2"/>
        <charset val="238"/>
        <scheme val="minor"/>
      </rPr>
      <t>9</t>
    </r>
    <r>
      <rPr>
        <sz val="11"/>
        <rFont val="Calibri"/>
        <family val="2"/>
        <charset val="238"/>
        <scheme val="minor"/>
      </rPr>
      <t>b</t>
    </r>
  </si>
  <si>
    <r>
      <rPr>
        <sz val="11"/>
        <color rgb="FF1A1A1A"/>
        <rFont val="Calibri"/>
        <family val="2"/>
        <charset val="238"/>
        <scheme val="minor"/>
      </rPr>
      <t>B</t>
    </r>
    <r>
      <rPr>
        <sz val="11"/>
        <color rgb="FF363636"/>
        <rFont val="Calibri"/>
        <family val="2"/>
        <charset val="238"/>
        <scheme val="minor"/>
      </rPr>
      <t>.</t>
    </r>
    <r>
      <rPr>
        <sz val="11"/>
        <color rgb="FF1A1A1A"/>
        <rFont val="Calibri"/>
        <family val="2"/>
        <charset val="238"/>
        <scheme val="minor"/>
      </rPr>
      <t>109</t>
    </r>
    <r>
      <rPr>
        <sz val="11"/>
        <rFont val="Calibri"/>
        <family val="2"/>
        <charset val="238"/>
        <scheme val="minor"/>
      </rPr>
      <t>b</t>
    </r>
  </si>
  <si>
    <r>
      <rPr>
        <sz val="11"/>
        <color rgb="FF1A1A1A"/>
        <rFont val="Calibri"/>
        <family val="2"/>
        <charset val="238"/>
        <scheme val="minor"/>
      </rPr>
      <t>B</t>
    </r>
    <r>
      <rPr>
        <sz val="11"/>
        <color rgb="FF363636"/>
        <rFont val="Calibri"/>
        <family val="2"/>
        <charset val="238"/>
        <scheme val="minor"/>
      </rPr>
      <t>.</t>
    </r>
    <r>
      <rPr>
        <sz val="11"/>
        <rFont val="Calibri"/>
        <family val="2"/>
        <charset val="238"/>
        <scheme val="minor"/>
      </rPr>
      <t>1</t>
    </r>
    <r>
      <rPr>
        <sz val="11"/>
        <color rgb="FF363636"/>
        <rFont val="Calibri"/>
        <family val="2"/>
        <charset val="238"/>
        <scheme val="minor"/>
      </rPr>
      <t>2</t>
    </r>
    <r>
      <rPr>
        <sz val="11"/>
        <color rgb="FF1A1A1A"/>
        <rFont val="Calibri"/>
        <family val="2"/>
        <charset val="238"/>
        <scheme val="minor"/>
      </rPr>
      <t>4</t>
    </r>
  </si>
  <si>
    <r>
      <rPr>
        <sz val="11"/>
        <color rgb="FF1A1A1A"/>
        <rFont val="Calibri"/>
        <family val="2"/>
        <charset val="238"/>
        <scheme val="minor"/>
      </rPr>
      <t>MY</t>
    </r>
    <r>
      <rPr>
        <sz val="11"/>
        <rFont val="Calibri"/>
        <family val="2"/>
        <charset val="238"/>
        <scheme val="minor"/>
      </rPr>
      <t xml:space="preserve">TÍ </t>
    </r>
    <r>
      <rPr>
        <sz val="11"/>
        <color rgb="FF1A1A1A"/>
        <rFont val="Calibri"/>
        <family val="2"/>
        <charset val="238"/>
        <scheme val="minor"/>
      </rPr>
      <t>Č</t>
    </r>
    <r>
      <rPr>
        <sz val="11"/>
        <rFont val="Calibri"/>
        <family val="2"/>
        <charset val="238"/>
        <scheme val="minor"/>
      </rPr>
      <t>ER</t>
    </r>
    <r>
      <rPr>
        <sz val="11"/>
        <color rgb="FF1A1A1A"/>
        <rFont val="Calibri"/>
        <family val="2"/>
        <charset val="238"/>
        <scheme val="minor"/>
      </rPr>
      <t>N</t>
    </r>
    <r>
      <rPr>
        <sz val="11"/>
        <rFont val="Calibri"/>
        <family val="2"/>
        <charset val="238"/>
        <scheme val="minor"/>
      </rPr>
      <t>ÉH</t>
    </r>
    <r>
      <rPr>
        <sz val="11"/>
        <color rgb="FF1A1A1A"/>
        <rFont val="Calibri"/>
        <family val="2"/>
        <charset val="238"/>
        <scheme val="minor"/>
      </rPr>
      <t xml:space="preserve">O </t>
    </r>
    <r>
      <rPr>
        <sz val="11"/>
        <rFont val="Calibri"/>
        <family val="2"/>
        <charset val="238"/>
        <scheme val="minor"/>
      </rPr>
      <t>N</t>
    </r>
    <r>
      <rPr>
        <sz val="11"/>
        <color rgb="FF1A1A1A"/>
        <rFont val="Calibri"/>
        <family val="2"/>
        <charset val="238"/>
        <scheme val="minor"/>
      </rPr>
      <t>Á</t>
    </r>
    <r>
      <rPr>
        <sz val="11"/>
        <rFont val="Calibri"/>
        <family val="2"/>
        <charset val="238"/>
        <scheme val="minor"/>
      </rPr>
      <t>D</t>
    </r>
    <r>
      <rPr>
        <sz val="11"/>
        <color rgb="FF1A1A1A"/>
        <rFont val="Calibri"/>
        <family val="2"/>
        <charset val="238"/>
        <scheme val="minor"/>
      </rPr>
      <t>OBÍ</t>
    </r>
  </si>
  <si>
    <r>
      <rPr>
        <sz val="11"/>
        <color rgb="FF363636"/>
        <rFont val="Calibri"/>
        <family val="2"/>
        <charset val="238"/>
        <scheme val="minor"/>
      </rPr>
      <t>vz</t>
    </r>
    <r>
      <rPr>
        <sz val="11"/>
        <color rgb="FF1A1A1A"/>
        <rFont val="Calibri"/>
        <family val="2"/>
        <charset val="238"/>
        <scheme val="minor"/>
      </rPr>
      <t xml:space="preserve">t </t>
    </r>
    <r>
      <rPr>
        <sz val="11"/>
        <color rgb="FF363636"/>
        <rFont val="Calibri"/>
        <family val="2"/>
        <charset val="238"/>
        <scheme val="minor"/>
      </rPr>
      <t>stro</t>
    </r>
    <r>
      <rPr>
        <sz val="11"/>
        <color rgb="FF1A1A1A"/>
        <rFont val="Calibri"/>
        <family val="2"/>
        <charset val="238"/>
        <scheme val="minor"/>
      </rPr>
      <t>p-</t>
    </r>
    <r>
      <rPr>
        <sz val="11"/>
        <color rgb="FF363636"/>
        <rFont val="Calibri"/>
        <family val="2"/>
        <charset val="238"/>
        <scheme val="minor"/>
      </rPr>
      <t>v</t>
    </r>
    <r>
      <rPr>
        <sz val="11"/>
        <color rgb="FF1A1A1A"/>
        <rFont val="Calibri"/>
        <family val="2"/>
        <charset val="238"/>
        <scheme val="minor"/>
      </rPr>
      <t>i</t>
    </r>
    <r>
      <rPr>
        <sz val="11"/>
        <color rgb="FF4B4B4B"/>
        <rFont val="Calibri"/>
        <family val="2"/>
        <charset val="238"/>
        <scheme val="minor"/>
      </rPr>
      <t xml:space="preserve">z </t>
    </r>
    <r>
      <rPr>
        <sz val="11"/>
        <color rgb="FF363636"/>
        <rFont val="Calibri"/>
        <family val="2"/>
        <charset val="238"/>
        <scheme val="minor"/>
      </rPr>
      <t>gastro</t>
    </r>
  </si>
  <si>
    <r>
      <rPr>
        <sz val="11"/>
        <color rgb="FF1A1A1A"/>
        <rFont val="Calibri"/>
        <family val="2"/>
        <charset val="238"/>
        <scheme val="minor"/>
      </rPr>
      <t>B.125</t>
    </r>
  </si>
  <si>
    <r>
      <t>S</t>
    </r>
    <r>
      <rPr>
        <sz val="11"/>
        <color rgb="FF1A1A1A"/>
        <rFont val="Calibri"/>
        <family val="2"/>
        <charset val="238"/>
        <scheme val="minor"/>
      </rPr>
      <t>T</t>
    </r>
    <r>
      <rPr>
        <sz val="11"/>
        <rFont val="Calibri"/>
        <family val="2"/>
        <charset val="238"/>
        <scheme val="minor"/>
      </rPr>
      <t>U</t>
    </r>
    <r>
      <rPr>
        <sz val="11"/>
        <color rgb="FF1A1A1A"/>
        <rFont val="Calibri"/>
        <family val="2"/>
        <charset val="238"/>
        <scheme val="minor"/>
      </rPr>
      <t>D</t>
    </r>
    <r>
      <rPr>
        <sz val="11"/>
        <rFont val="Calibri"/>
        <family val="2"/>
        <charset val="238"/>
        <scheme val="minor"/>
      </rPr>
      <t>EN</t>
    </r>
    <r>
      <rPr>
        <sz val="11"/>
        <color rgb="FF1A1A1A"/>
        <rFont val="Calibri"/>
        <family val="2"/>
        <charset val="238"/>
        <scheme val="minor"/>
      </rPr>
      <t>Á K</t>
    </r>
    <r>
      <rPr>
        <sz val="11"/>
        <rFont val="Calibri"/>
        <family val="2"/>
        <charset val="238"/>
        <scheme val="minor"/>
      </rPr>
      <t>U</t>
    </r>
    <r>
      <rPr>
        <sz val="11"/>
        <color rgb="FF1A1A1A"/>
        <rFont val="Calibri"/>
        <family val="2"/>
        <charset val="238"/>
        <scheme val="minor"/>
      </rPr>
      <t>C</t>
    </r>
    <r>
      <rPr>
        <sz val="11"/>
        <rFont val="Calibri"/>
        <family val="2"/>
        <charset val="238"/>
        <scheme val="minor"/>
      </rPr>
      <t>H</t>
    </r>
    <r>
      <rPr>
        <sz val="11"/>
        <color rgb="FF1A1A1A"/>
        <rFont val="Calibri"/>
        <family val="2"/>
        <charset val="238"/>
        <scheme val="minor"/>
      </rPr>
      <t>Y</t>
    </r>
    <r>
      <rPr>
        <sz val="11"/>
        <rFont val="Calibri"/>
        <family val="2"/>
        <charset val="238"/>
        <scheme val="minor"/>
      </rPr>
      <t>N</t>
    </r>
    <r>
      <rPr>
        <sz val="11"/>
        <color rgb="FF1A1A1A"/>
        <rFont val="Calibri"/>
        <family val="2"/>
        <charset val="238"/>
        <scheme val="minor"/>
      </rPr>
      <t>Ě (T</t>
    </r>
    <r>
      <rPr>
        <sz val="11"/>
        <rFont val="Calibri"/>
        <family val="2"/>
        <charset val="238"/>
        <scheme val="minor"/>
      </rPr>
      <t>E</t>
    </r>
    <r>
      <rPr>
        <sz val="11"/>
        <color rgb="FF1A1A1A"/>
        <rFont val="Calibri"/>
        <family val="2"/>
        <charset val="238"/>
        <scheme val="minor"/>
      </rPr>
      <t>MP</t>
    </r>
    <r>
      <rPr>
        <sz val="11"/>
        <color rgb="FF363636"/>
        <rFont val="Calibri"/>
        <family val="2"/>
        <charset val="238"/>
        <scheme val="minor"/>
      </rPr>
      <t xml:space="preserve">. </t>
    </r>
    <r>
      <rPr>
        <sz val="11"/>
        <rFont val="Calibri"/>
        <family val="2"/>
        <charset val="238"/>
        <scheme val="minor"/>
      </rPr>
      <t>1</t>
    </r>
    <r>
      <rPr>
        <sz val="11"/>
        <color rgb="FF363636"/>
        <rFont val="Calibri"/>
        <family val="2"/>
        <charset val="238"/>
        <scheme val="minor"/>
      </rPr>
      <t>5 °</t>
    </r>
    <r>
      <rPr>
        <sz val="11"/>
        <color rgb="FF1A1A1A"/>
        <rFont val="Calibri"/>
        <family val="2"/>
        <charset val="238"/>
        <scheme val="minor"/>
      </rPr>
      <t>C)</t>
    </r>
  </si>
  <si>
    <r>
      <rPr>
        <sz val="11"/>
        <color rgb="FF1A1A1A"/>
        <rFont val="Calibri"/>
        <family val="2"/>
        <charset val="238"/>
        <scheme val="minor"/>
      </rPr>
      <t>B.128</t>
    </r>
  </si>
  <si>
    <r>
      <t>P</t>
    </r>
    <r>
      <rPr>
        <sz val="11"/>
        <color rgb="FF1A1A1A"/>
        <rFont val="Calibri"/>
        <family val="2"/>
        <charset val="238"/>
        <scheme val="minor"/>
      </rPr>
      <t>ŘÍ</t>
    </r>
    <r>
      <rPr>
        <sz val="11"/>
        <rFont val="Calibri"/>
        <family val="2"/>
        <charset val="238"/>
        <scheme val="minor"/>
      </rPr>
      <t>P</t>
    </r>
    <r>
      <rPr>
        <sz val="11"/>
        <color rgb="FF1A1A1A"/>
        <rFont val="Calibri"/>
        <family val="2"/>
        <charset val="238"/>
        <scheme val="minor"/>
      </rPr>
      <t>RAV</t>
    </r>
    <r>
      <rPr>
        <sz val="11"/>
        <rFont val="Calibri"/>
        <family val="2"/>
        <charset val="238"/>
        <scheme val="minor"/>
      </rPr>
      <t>N</t>
    </r>
    <r>
      <rPr>
        <sz val="11"/>
        <color rgb="FF1A1A1A"/>
        <rFont val="Calibri"/>
        <family val="2"/>
        <charset val="238"/>
        <scheme val="minor"/>
      </rPr>
      <t>A MASA (</t>
    </r>
    <r>
      <rPr>
        <sz val="11"/>
        <rFont val="Calibri"/>
        <family val="2"/>
        <charset val="238"/>
        <scheme val="minor"/>
      </rPr>
      <t>TE</t>
    </r>
    <r>
      <rPr>
        <sz val="11"/>
        <color rgb="FF1A1A1A"/>
        <rFont val="Calibri"/>
        <family val="2"/>
        <charset val="238"/>
        <scheme val="minor"/>
      </rPr>
      <t>M</t>
    </r>
    <r>
      <rPr>
        <sz val="11"/>
        <rFont val="Calibri"/>
        <family val="2"/>
        <charset val="238"/>
        <scheme val="minor"/>
      </rPr>
      <t>P</t>
    </r>
    <r>
      <rPr>
        <sz val="11"/>
        <color rgb="FF1A1A1A"/>
        <rFont val="Calibri"/>
        <family val="2"/>
        <charset val="238"/>
        <scheme val="minor"/>
      </rPr>
      <t>. 15</t>
    </r>
    <r>
      <rPr>
        <sz val="11"/>
        <color rgb="FF4B4B4B"/>
        <rFont val="Calibri"/>
        <family val="2"/>
        <charset val="238"/>
        <scheme val="minor"/>
      </rPr>
      <t>°</t>
    </r>
    <r>
      <rPr>
        <sz val="11"/>
        <color rgb="FF1A1A1A"/>
        <rFont val="Calibri"/>
        <family val="2"/>
        <charset val="238"/>
        <scheme val="minor"/>
      </rPr>
      <t>C</t>
    </r>
    <r>
      <rPr>
        <sz val="11"/>
        <color rgb="FF363636"/>
        <rFont val="Calibri"/>
        <family val="2"/>
        <charset val="238"/>
        <scheme val="minor"/>
      </rPr>
      <t>)</t>
    </r>
  </si>
  <si>
    <r>
      <rPr>
        <sz val="11"/>
        <color rgb="FF1A1A1A"/>
        <rFont val="Calibri"/>
        <family val="2"/>
        <charset val="238"/>
        <scheme val="minor"/>
      </rPr>
      <t>B</t>
    </r>
    <r>
      <rPr>
        <sz val="11"/>
        <color rgb="FF363636"/>
        <rFont val="Calibri"/>
        <family val="2"/>
        <charset val="238"/>
        <scheme val="minor"/>
      </rPr>
      <t>.</t>
    </r>
    <r>
      <rPr>
        <sz val="11"/>
        <rFont val="Calibri"/>
        <family val="2"/>
        <charset val="238"/>
        <scheme val="minor"/>
      </rPr>
      <t>1</t>
    </r>
    <r>
      <rPr>
        <sz val="11"/>
        <color rgb="FF1A1A1A"/>
        <rFont val="Calibri"/>
        <family val="2"/>
        <charset val="238"/>
        <scheme val="minor"/>
      </rPr>
      <t>29</t>
    </r>
  </si>
  <si>
    <r>
      <rPr>
        <sz val="11"/>
        <color rgb="FF1A1A1A"/>
        <rFont val="Calibri"/>
        <family val="2"/>
        <charset val="238"/>
        <scheme val="minor"/>
      </rPr>
      <t>Č</t>
    </r>
    <r>
      <rPr>
        <sz val="11"/>
        <rFont val="Calibri"/>
        <family val="2"/>
        <charset val="238"/>
        <scheme val="minor"/>
      </rPr>
      <t>I</t>
    </r>
    <r>
      <rPr>
        <sz val="11"/>
        <color rgb="FF1A1A1A"/>
        <rFont val="Calibri"/>
        <family val="2"/>
        <charset val="238"/>
        <scheme val="minor"/>
      </rPr>
      <t>S</t>
    </r>
    <r>
      <rPr>
        <sz val="11"/>
        <rFont val="Calibri"/>
        <family val="2"/>
        <charset val="238"/>
        <scheme val="minor"/>
      </rPr>
      <t>T</t>
    </r>
    <r>
      <rPr>
        <sz val="11"/>
        <color rgb="FF1A1A1A"/>
        <rFont val="Calibri"/>
        <family val="2"/>
        <charset val="238"/>
        <scheme val="minor"/>
      </rPr>
      <t xml:space="preserve">Á </t>
    </r>
    <r>
      <rPr>
        <sz val="11"/>
        <rFont val="Calibri"/>
        <family val="2"/>
        <charset val="238"/>
        <scheme val="minor"/>
      </rPr>
      <t>P</t>
    </r>
    <r>
      <rPr>
        <sz val="11"/>
        <color rgb="FF1A1A1A"/>
        <rFont val="Calibri"/>
        <family val="2"/>
        <charset val="238"/>
        <scheme val="minor"/>
      </rPr>
      <t>Ř</t>
    </r>
    <r>
      <rPr>
        <sz val="11"/>
        <rFont val="Calibri"/>
        <family val="2"/>
        <charset val="238"/>
        <scheme val="minor"/>
      </rPr>
      <t>ÍPR</t>
    </r>
    <r>
      <rPr>
        <sz val="11"/>
        <color rgb="FF1A1A1A"/>
        <rFont val="Calibri"/>
        <family val="2"/>
        <charset val="238"/>
        <scheme val="minor"/>
      </rPr>
      <t>AV</t>
    </r>
    <r>
      <rPr>
        <sz val="11"/>
        <rFont val="Calibri"/>
        <family val="2"/>
        <charset val="238"/>
        <scheme val="minor"/>
      </rPr>
      <t>N</t>
    </r>
    <r>
      <rPr>
        <sz val="11"/>
        <color rgb="FF1A1A1A"/>
        <rFont val="Calibri"/>
        <family val="2"/>
        <charset val="238"/>
        <scheme val="minor"/>
      </rPr>
      <t>A Z</t>
    </r>
    <r>
      <rPr>
        <sz val="11"/>
        <rFont val="Calibri"/>
        <family val="2"/>
        <charset val="238"/>
        <scheme val="minor"/>
      </rPr>
      <t>ELENIN</t>
    </r>
    <r>
      <rPr>
        <sz val="11"/>
        <color rgb="FF1A1A1A"/>
        <rFont val="Calibri"/>
        <family val="2"/>
        <charset val="238"/>
        <scheme val="minor"/>
      </rPr>
      <t>Y</t>
    </r>
  </si>
  <si>
    <r>
      <rPr>
        <sz val="11"/>
        <color rgb="FF1A1A1A"/>
        <rFont val="Calibri"/>
        <family val="2"/>
        <charset val="238"/>
        <scheme val="minor"/>
      </rPr>
      <t>B.</t>
    </r>
    <r>
      <rPr>
        <sz val="11"/>
        <rFont val="Calibri"/>
        <family val="2"/>
        <charset val="238"/>
        <scheme val="minor"/>
      </rPr>
      <t>1</t>
    </r>
    <r>
      <rPr>
        <sz val="11"/>
        <color rgb="FF1A1A1A"/>
        <rFont val="Calibri"/>
        <family val="2"/>
        <charset val="238"/>
        <scheme val="minor"/>
      </rPr>
      <t>37</t>
    </r>
  </si>
  <si>
    <r>
      <rPr>
        <sz val="11"/>
        <color rgb="FF1A1A1A"/>
        <rFont val="Calibri"/>
        <family val="2"/>
        <charset val="238"/>
        <scheme val="minor"/>
      </rPr>
      <t>MY</t>
    </r>
    <r>
      <rPr>
        <sz val="11"/>
        <rFont val="Calibri"/>
        <family val="2"/>
        <charset val="238"/>
        <scheme val="minor"/>
      </rPr>
      <t xml:space="preserve">TÍ </t>
    </r>
    <r>
      <rPr>
        <sz val="11"/>
        <color rgb="FF1A1A1A"/>
        <rFont val="Calibri"/>
        <family val="2"/>
        <charset val="238"/>
        <scheme val="minor"/>
      </rPr>
      <t>A S</t>
    </r>
    <r>
      <rPr>
        <sz val="11"/>
        <rFont val="Calibri"/>
        <family val="2"/>
        <charset val="238"/>
        <scheme val="minor"/>
      </rPr>
      <t>U</t>
    </r>
    <r>
      <rPr>
        <sz val="11"/>
        <color rgb="FF1A1A1A"/>
        <rFont val="Calibri"/>
        <family val="2"/>
        <charset val="238"/>
        <scheme val="minor"/>
      </rPr>
      <t>Š</t>
    </r>
    <r>
      <rPr>
        <sz val="11"/>
        <rFont val="Calibri"/>
        <family val="2"/>
        <charset val="238"/>
        <scheme val="minor"/>
      </rPr>
      <t xml:space="preserve">ENÍ </t>
    </r>
    <r>
      <rPr>
        <sz val="11"/>
        <color rgb="FF1A1A1A"/>
        <rFont val="Calibri"/>
        <family val="2"/>
        <charset val="238"/>
        <scheme val="minor"/>
      </rPr>
      <t>VOZÍKŮ</t>
    </r>
  </si>
  <si>
    <r>
      <rPr>
        <sz val="11"/>
        <color rgb="FF1A1A1A"/>
        <rFont val="Calibri"/>
        <family val="2"/>
        <charset val="238"/>
        <scheme val="minor"/>
      </rPr>
      <t>B</t>
    </r>
    <r>
      <rPr>
        <sz val="11"/>
        <color rgb="FF363636"/>
        <rFont val="Calibri"/>
        <family val="2"/>
        <charset val="238"/>
        <scheme val="minor"/>
      </rPr>
      <t>.</t>
    </r>
    <r>
      <rPr>
        <sz val="11"/>
        <rFont val="Calibri"/>
        <family val="2"/>
        <charset val="238"/>
        <scheme val="minor"/>
      </rPr>
      <t>1</t>
    </r>
    <r>
      <rPr>
        <sz val="11"/>
        <color rgb="FF363636"/>
        <rFont val="Calibri"/>
        <family val="2"/>
        <charset val="238"/>
        <scheme val="minor"/>
      </rPr>
      <t>3</t>
    </r>
    <r>
      <rPr>
        <sz val="11"/>
        <color rgb="FF1A1A1A"/>
        <rFont val="Calibri"/>
        <family val="2"/>
        <charset val="238"/>
        <scheme val="minor"/>
      </rPr>
      <t>8</t>
    </r>
  </si>
  <si>
    <r>
      <rPr>
        <sz val="11"/>
        <color rgb="FF1A1A1A"/>
        <rFont val="Calibri"/>
        <family val="2"/>
        <charset val="238"/>
        <scheme val="minor"/>
      </rPr>
      <t>PARKOV</t>
    </r>
    <r>
      <rPr>
        <sz val="11"/>
        <rFont val="Calibri"/>
        <family val="2"/>
        <charset val="238"/>
        <scheme val="minor"/>
      </rPr>
      <t>I</t>
    </r>
    <r>
      <rPr>
        <sz val="11"/>
        <color rgb="FF1A1A1A"/>
        <rFont val="Calibri"/>
        <family val="2"/>
        <charset val="238"/>
        <scheme val="minor"/>
      </rPr>
      <t>ŠTĚ VOZ</t>
    </r>
    <r>
      <rPr>
        <sz val="11"/>
        <rFont val="Calibri"/>
        <family val="2"/>
        <charset val="238"/>
        <scheme val="minor"/>
      </rPr>
      <t>Í</t>
    </r>
    <r>
      <rPr>
        <sz val="11"/>
        <color rgb="FF1A1A1A"/>
        <rFont val="Calibri"/>
        <family val="2"/>
        <charset val="238"/>
        <scheme val="minor"/>
      </rPr>
      <t>KŮ</t>
    </r>
  </si>
  <si>
    <r>
      <t>B</t>
    </r>
    <r>
      <rPr>
        <sz val="11"/>
        <color rgb="FF1A1A1A"/>
        <rFont val="Calibri"/>
        <family val="2"/>
        <charset val="238"/>
        <scheme val="minor"/>
      </rPr>
      <t>.139</t>
    </r>
  </si>
  <si>
    <r>
      <rPr>
        <sz val="11"/>
        <color rgb="FF1A1A1A"/>
        <rFont val="Calibri"/>
        <family val="2"/>
        <charset val="238"/>
        <scheme val="minor"/>
      </rPr>
      <t>MY</t>
    </r>
    <r>
      <rPr>
        <sz val="11"/>
        <rFont val="Calibri"/>
        <family val="2"/>
        <charset val="238"/>
        <scheme val="minor"/>
      </rPr>
      <t>TÍ T</t>
    </r>
    <r>
      <rPr>
        <sz val="11"/>
        <color rgb="FF1A1A1A"/>
        <rFont val="Calibri"/>
        <family val="2"/>
        <charset val="238"/>
        <scheme val="minor"/>
      </rPr>
      <t>AB</t>
    </r>
    <r>
      <rPr>
        <sz val="11"/>
        <rFont val="Calibri"/>
        <family val="2"/>
        <charset val="238"/>
        <scheme val="minor"/>
      </rPr>
      <t>LET</t>
    </r>
    <r>
      <rPr>
        <sz val="11"/>
        <color rgb="FF1A1A1A"/>
        <rFont val="Calibri"/>
        <family val="2"/>
        <charset val="238"/>
        <scheme val="minor"/>
      </rPr>
      <t>Ů A S</t>
    </r>
    <r>
      <rPr>
        <sz val="11"/>
        <rFont val="Calibri"/>
        <family val="2"/>
        <charset val="238"/>
        <scheme val="minor"/>
      </rPr>
      <t>T</t>
    </r>
    <r>
      <rPr>
        <sz val="11"/>
        <color rgb="FF1A1A1A"/>
        <rFont val="Calibri"/>
        <family val="2"/>
        <charset val="238"/>
        <scheme val="minor"/>
      </rPr>
      <t>O</t>
    </r>
    <r>
      <rPr>
        <sz val="11"/>
        <rFont val="Calibri"/>
        <family val="2"/>
        <charset val="238"/>
        <scheme val="minor"/>
      </rPr>
      <t>L</t>
    </r>
    <r>
      <rPr>
        <sz val="11"/>
        <color rgb="FF1A1A1A"/>
        <rFont val="Calibri"/>
        <family val="2"/>
        <charset val="238"/>
        <scheme val="minor"/>
      </rPr>
      <t xml:space="preserve">. </t>
    </r>
    <r>
      <rPr>
        <sz val="11"/>
        <rFont val="Calibri"/>
        <family val="2"/>
        <charset val="238"/>
        <scheme val="minor"/>
      </rPr>
      <t>N</t>
    </r>
    <r>
      <rPr>
        <sz val="11"/>
        <color rgb="FF1A1A1A"/>
        <rFont val="Calibri"/>
        <family val="2"/>
        <charset val="238"/>
        <scheme val="minor"/>
      </rPr>
      <t>ÁDO</t>
    </r>
    <r>
      <rPr>
        <sz val="11"/>
        <rFont val="Calibri"/>
        <family val="2"/>
        <charset val="238"/>
        <scheme val="minor"/>
      </rPr>
      <t>BÍ</t>
    </r>
  </si>
  <si>
    <r>
      <rPr>
        <sz val="11"/>
        <color rgb="FF4B4B4B"/>
        <rFont val="Calibri"/>
        <family val="2"/>
        <charset val="238"/>
        <scheme val="minor"/>
      </rPr>
      <t>vz</t>
    </r>
    <r>
      <rPr>
        <sz val="11"/>
        <color rgb="FF1A1A1A"/>
        <rFont val="Calibri"/>
        <family val="2"/>
        <charset val="238"/>
        <scheme val="minor"/>
      </rPr>
      <t xml:space="preserve">t </t>
    </r>
    <r>
      <rPr>
        <sz val="11"/>
        <color rgb="FF4B4B4B"/>
        <rFont val="Calibri"/>
        <family val="2"/>
        <charset val="238"/>
        <scheme val="minor"/>
      </rPr>
      <t>stro</t>
    </r>
    <r>
      <rPr>
        <sz val="11"/>
        <color rgb="FF1A1A1A"/>
        <rFont val="Calibri"/>
        <family val="2"/>
        <charset val="238"/>
        <scheme val="minor"/>
      </rPr>
      <t>p</t>
    </r>
    <r>
      <rPr>
        <sz val="11"/>
        <rFont val="Calibri"/>
        <family val="2"/>
        <charset val="238"/>
        <scheme val="minor"/>
      </rPr>
      <t>-</t>
    </r>
    <r>
      <rPr>
        <sz val="11"/>
        <color rgb="FF363636"/>
        <rFont val="Calibri"/>
        <family val="2"/>
        <charset val="238"/>
        <scheme val="minor"/>
      </rPr>
      <t>v</t>
    </r>
    <r>
      <rPr>
        <sz val="11"/>
        <rFont val="Calibri"/>
        <family val="2"/>
        <charset val="238"/>
        <scheme val="minor"/>
      </rPr>
      <t>i</t>
    </r>
    <r>
      <rPr>
        <sz val="11"/>
        <color rgb="FF363636"/>
        <rFont val="Calibri"/>
        <family val="2"/>
        <charset val="238"/>
        <scheme val="minor"/>
      </rPr>
      <t>z gast</t>
    </r>
    <r>
      <rPr>
        <sz val="11"/>
        <color rgb="FF1A1A1A"/>
        <rFont val="Calibri"/>
        <family val="2"/>
        <charset val="238"/>
        <scheme val="minor"/>
      </rPr>
      <t>ro</t>
    </r>
  </si>
  <si>
    <r>
      <rPr>
        <sz val="11"/>
        <color rgb="FF030303"/>
        <rFont val="Calibri"/>
        <family val="2"/>
        <charset val="238"/>
        <scheme val="minor"/>
      </rPr>
      <t>H</t>
    </r>
    <r>
      <rPr>
        <sz val="11"/>
        <color rgb="FF444444"/>
        <rFont val="Calibri"/>
        <family val="2"/>
        <charset val="238"/>
        <scheme val="minor"/>
      </rPr>
      <t>.</t>
    </r>
    <r>
      <rPr>
        <sz val="11"/>
        <color rgb="FF030303"/>
        <rFont val="Calibri"/>
        <family val="2"/>
        <charset val="238"/>
        <scheme val="minor"/>
      </rPr>
      <t>112</t>
    </r>
  </si>
  <si>
    <r>
      <rPr>
        <sz val="11"/>
        <color rgb="FF030303"/>
        <rFont val="Calibri"/>
        <family val="2"/>
        <charset val="238"/>
        <scheme val="minor"/>
      </rPr>
      <t>ATRIUM</t>
    </r>
  </si>
  <si>
    <r>
      <rPr>
        <sz val="11"/>
        <color rgb="FF030303"/>
        <rFont val="Calibri"/>
        <family val="2"/>
        <charset val="238"/>
        <scheme val="minor"/>
      </rPr>
      <t>rostl</t>
    </r>
    <r>
      <rPr>
        <sz val="11"/>
        <color rgb="FF232323"/>
        <rFont val="Calibri"/>
        <family val="2"/>
        <charset val="238"/>
        <scheme val="minor"/>
      </rPr>
      <t xml:space="preserve">ý </t>
    </r>
    <r>
      <rPr>
        <sz val="11"/>
        <color rgb="FF030303"/>
        <rFont val="Calibri"/>
        <family val="2"/>
        <charset val="238"/>
        <scheme val="minor"/>
      </rPr>
      <t>terén</t>
    </r>
  </si>
  <si>
    <r>
      <rPr>
        <sz val="11"/>
        <color rgb="FF030303"/>
        <rFont val="Calibri"/>
        <family val="2"/>
        <charset val="238"/>
        <scheme val="minor"/>
      </rPr>
      <t>H</t>
    </r>
    <r>
      <rPr>
        <sz val="11"/>
        <color rgb="FF444444"/>
        <rFont val="Calibri"/>
        <family val="2"/>
        <charset val="238"/>
        <scheme val="minor"/>
      </rPr>
      <t>.</t>
    </r>
    <r>
      <rPr>
        <sz val="11"/>
        <color rgb="FF030303"/>
        <rFont val="Calibri"/>
        <family val="2"/>
        <charset val="238"/>
        <scheme val="minor"/>
      </rPr>
      <t>113</t>
    </r>
  </si>
  <si>
    <r>
      <rPr>
        <sz val="11"/>
        <color rgb="FF030303"/>
        <rFont val="Calibri"/>
        <family val="2"/>
        <charset val="238"/>
        <scheme val="minor"/>
      </rPr>
      <t>A</t>
    </r>
    <r>
      <rPr>
        <sz val="11"/>
        <color rgb="FF575757"/>
        <rFont val="Calibri"/>
        <family val="2"/>
        <charset val="238"/>
        <scheme val="minor"/>
      </rPr>
      <t>.</t>
    </r>
    <r>
      <rPr>
        <sz val="11"/>
        <color rgb="FF030303"/>
        <rFont val="Calibri"/>
        <family val="2"/>
        <charset val="238"/>
        <scheme val="minor"/>
      </rPr>
      <t>318</t>
    </r>
  </si>
  <si>
    <r>
      <rPr>
        <sz val="11"/>
        <color rgb="FF030303"/>
        <rFont val="Calibri"/>
        <family val="2"/>
        <charset val="238"/>
        <scheme val="minor"/>
      </rPr>
      <t>VENKOVNÍ ÚNIKOVÉ SCHODIŠTĚ</t>
    </r>
  </si>
  <si>
    <r>
      <rPr>
        <sz val="11"/>
        <color rgb="FF030303"/>
        <rFont val="Calibri"/>
        <family val="2"/>
        <charset val="238"/>
        <scheme val="minor"/>
      </rPr>
      <t>S10, ŽB</t>
    </r>
    <r>
      <rPr>
        <sz val="11"/>
        <color rgb="FF2B2B2B"/>
        <rFont val="Calibri"/>
        <family val="2"/>
        <charset val="238"/>
        <scheme val="minor"/>
      </rPr>
      <t xml:space="preserve">, </t>
    </r>
    <r>
      <rPr>
        <sz val="11"/>
        <color rgb="FF030303"/>
        <rFont val="Calibri"/>
        <family val="2"/>
        <charset val="238"/>
        <scheme val="minor"/>
      </rPr>
      <t>pororošt</t>
    </r>
  </si>
  <si>
    <r>
      <rPr>
        <sz val="11"/>
        <color rgb="FF010101"/>
        <rFont val="Calibri"/>
        <family val="2"/>
        <charset val="238"/>
        <scheme val="minor"/>
      </rPr>
      <t>B</t>
    </r>
    <r>
      <rPr>
        <sz val="11"/>
        <color rgb="FF575757"/>
        <rFont val="Calibri"/>
        <family val="2"/>
        <charset val="238"/>
        <scheme val="minor"/>
      </rPr>
      <t>.</t>
    </r>
    <r>
      <rPr>
        <sz val="11"/>
        <color rgb="FF010101"/>
        <rFont val="Calibri"/>
        <family val="2"/>
        <charset val="238"/>
        <scheme val="minor"/>
      </rPr>
      <t>317</t>
    </r>
  </si>
  <si>
    <r>
      <rPr>
        <sz val="11"/>
        <color rgb="FF010101"/>
        <rFont val="Calibri"/>
        <family val="2"/>
        <charset val="238"/>
        <scheme val="minor"/>
      </rPr>
      <t>VENKOVNÍ ÚNIKOVÉ SCHODIŠTĚ</t>
    </r>
  </si>
  <si>
    <r>
      <rPr>
        <sz val="11"/>
        <color rgb="FF131313"/>
        <rFont val="Calibri"/>
        <family val="2"/>
        <charset val="238"/>
        <scheme val="minor"/>
      </rPr>
      <t>S10, ŽB</t>
    </r>
    <r>
      <rPr>
        <sz val="11"/>
        <color rgb="FF2B2B2B"/>
        <rFont val="Calibri"/>
        <family val="2"/>
        <charset val="238"/>
        <scheme val="minor"/>
      </rPr>
      <t xml:space="preserve">, </t>
    </r>
    <r>
      <rPr>
        <sz val="11"/>
        <color rgb="FF010101"/>
        <rFont val="Calibri"/>
        <family val="2"/>
        <charset val="238"/>
        <scheme val="minor"/>
      </rPr>
      <t>pororošt</t>
    </r>
  </si>
  <si>
    <r>
      <rPr>
        <sz val="11"/>
        <color rgb="FF010101"/>
        <rFont val="Calibri"/>
        <family val="2"/>
        <charset val="238"/>
        <scheme val="minor"/>
      </rPr>
      <t>A.418</t>
    </r>
  </si>
  <si>
    <r>
      <rPr>
        <sz val="11"/>
        <color rgb="FF010101"/>
        <rFont val="Calibri"/>
        <family val="2"/>
        <charset val="238"/>
        <scheme val="minor"/>
      </rPr>
      <t>B.417</t>
    </r>
  </si>
  <si>
    <r>
      <rPr>
        <sz val="11"/>
        <color rgb="FF111111"/>
        <rFont val="Calibri"/>
        <family val="2"/>
        <charset val="238"/>
        <scheme val="minor"/>
      </rPr>
      <t>S10, ŽB</t>
    </r>
    <r>
      <rPr>
        <sz val="11"/>
        <color rgb="FF4B4B4B"/>
        <rFont val="Calibri"/>
        <family val="2"/>
        <charset val="238"/>
        <scheme val="minor"/>
      </rPr>
      <t xml:space="preserve">, </t>
    </r>
    <r>
      <rPr>
        <sz val="11"/>
        <color rgb="FF010101"/>
        <rFont val="Calibri"/>
        <family val="2"/>
        <charset val="238"/>
        <scheme val="minor"/>
      </rPr>
      <t>pororošt</t>
    </r>
  </si>
  <si>
    <r>
      <rPr>
        <sz val="11"/>
        <color rgb="FF010101"/>
        <rFont val="Calibri"/>
        <family val="2"/>
        <charset val="238"/>
        <scheme val="minor"/>
      </rPr>
      <t>C.418</t>
    </r>
  </si>
  <si>
    <r>
      <rPr>
        <sz val="11"/>
        <color rgb="FF111111"/>
        <rFont val="Calibri"/>
        <family val="2"/>
        <charset val="238"/>
        <scheme val="minor"/>
      </rPr>
      <t>T1</t>
    </r>
  </si>
  <si>
    <r>
      <rPr>
        <sz val="11"/>
        <color rgb="FF010101"/>
        <rFont val="Calibri"/>
        <family val="2"/>
        <charset val="238"/>
        <scheme val="minor"/>
      </rPr>
      <t>B.217</t>
    </r>
  </si>
  <si>
    <r>
      <rPr>
        <sz val="11"/>
        <color rgb="FF010101"/>
        <rFont val="Calibri"/>
        <family val="2"/>
        <charset val="238"/>
        <scheme val="minor"/>
      </rPr>
      <t>A</t>
    </r>
    <r>
      <rPr>
        <sz val="11"/>
        <color rgb="FF424242"/>
        <rFont val="Calibri"/>
        <family val="2"/>
        <charset val="238"/>
        <scheme val="minor"/>
      </rPr>
      <t>.</t>
    </r>
    <r>
      <rPr>
        <sz val="11"/>
        <color rgb="FF010101"/>
        <rFont val="Calibri"/>
        <family val="2"/>
        <charset val="238"/>
        <scheme val="minor"/>
      </rPr>
      <t>218</t>
    </r>
  </si>
  <si>
    <r>
      <rPr>
        <sz val="11"/>
        <color rgb="FF030303"/>
        <rFont val="Calibri"/>
        <family val="2"/>
        <charset val="238"/>
        <scheme val="minor"/>
      </rPr>
      <t>A</t>
    </r>
    <r>
      <rPr>
        <sz val="11"/>
        <color rgb="FF575757"/>
        <rFont val="Calibri"/>
        <family val="2"/>
        <charset val="238"/>
        <scheme val="minor"/>
      </rPr>
      <t>.</t>
    </r>
    <r>
      <rPr>
        <sz val="11"/>
        <color rgb="FF030303"/>
        <rFont val="Calibri"/>
        <family val="2"/>
        <charset val="238"/>
        <scheme val="minor"/>
      </rPr>
      <t>317</t>
    </r>
  </si>
  <si>
    <r>
      <rPr>
        <sz val="11"/>
        <color rgb="FF030303"/>
        <rFont val="Calibri"/>
        <family val="2"/>
        <charset val="238"/>
        <scheme val="minor"/>
      </rPr>
      <t>S11</t>
    </r>
  </si>
  <si>
    <r>
      <rPr>
        <sz val="11"/>
        <color rgb="FF010101"/>
        <rFont val="Calibri"/>
        <family val="2"/>
        <charset val="238"/>
        <scheme val="minor"/>
      </rPr>
      <t>B</t>
    </r>
    <r>
      <rPr>
        <sz val="11"/>
        <color rgb="FF444444"/>
        <rFont val="Calibri"/>
        <family val="2"/>
        <charset val="238"/>
        <scheme val="minor"/>
      </rPr>
      <t>.</t>
    </r>
    <r>
      <rPr>
        <sz val="11"/>
        <color rgb="FF010101"/>
        <rFont val="Calibri"/>
        <family val="2"/>
        <charset val="238"/>
        <scheme val="minor"/>
      </rPr>
      <t>316</t>
    </r>
  </si>
  <si>
    <r>
      <rPr>
        <sz val="11"/>
        <color rgb="FF010101"/>
        <rFont val="Calibri"/>
        <family val="2"/>
        <charset val="238"/>
        <scheme val="minor"/>
      </rPr>
      <t>TERASA</t>
    </r>
  </si>
  <si>
    <r>
      <rPr>
        <sz val="11"/>
        <color rgb="FF010101"/>
        <rFont val="Calibri"/>
        <family val="2"/>
        <charset val="238"/>
        <scheme val="minor"/>
      </rPr>
      <t>S11</t>
    </r>
  </si>
  <si>
    <r>
      <rPr>
        <sz val="11"/>
        <color rgb="FF010101"/>
        <rFont val="Calibri"/>
        <family val="2"/>
        <charset val="238"/>
        <scheme val="minor"/>
      </rPr>
      <t>C</t>
    </r>
    <r>
      <rPr>
        <sz val="11"/>
        <color rgb="FF545454"/>
        <rFont val="Calibri"/>
        <family val="2"/>
        <charset val="238"/>
        <scheme val="minor"/>
      </rPr>
      <t>.</t>
    </r>
    <r>
      <rPr>
        <sz val="11"/>
        <color rgb="FF010101"/>
        <rFont val="Calibri"/>
        <family val="2"/>
        <charset val="238"/>
        <scheme val="minor"/>
      </rPr>
      <t>317</t>
    </r>
  </si>
  <si>
    <r>
      <rPr>
        <sz val="11"/>
        <color rgb="FF010101"/>
        <rFont val="Calibri"/>
        <family val="2"/>
        <charset val="238"/>
        <scheme val="minor"/>
      </rPr>
      <t>A.417</t>
    </r>
  </si>
  <si>
    <r>
      <rPr>
        <sz val="11"/>
        <color rgb="FF010101"/>
        <rFont val="Calibri"/>
        <family val="2"/>
        <charset val="238"/>
        <scheme val="minor"/>
      </rPr>
      <t>B.416</t>
    </r>
  </si>
  <si>
    <r>
      <rPr>
        <sz val="11"/>
        <color rgb="FF010101"/>
        <rFont val="Calibri"/>
        <family val="2"/>
        <charset val="238"/>
        <scheme val="minor"/>
      </rPr>
      <t>C.417</t>
    </r>
  </si>
  <si>
    <r>
      <rPr>
        <sz val="11"/>
        <color rgb="FF030303"/>
        <rFont val="Calibri"/>
        <family val="2"/>
        <charset val="238"/>
        <scheme val="minor"/>
      </rPr>
      <t>H</t>
    </r>
    <r>
      <rPr>
        <sz val="11"/>
        <color rgb="FF444444"/>
        <rFont val="Calibri"/>
        <family val="2"/>
        <charset val="238"/>
        <scheme val="minor"/>
      </rPr>
      <t>.</t>
    </r>
    <r>
      <rPr>
        <sz val="11"/>
        <color rgb="FF030303"/>
        <rFont val="Calibri"/>
        <family val="2"/>
        <charset val="238"/>
        <scheme val="minor"/>
      </rPr>
      <t>114</t>
    </r>
  </si>
  <si>
    <r>
      <rPr>
        <sz val="11"/>
        <color rgb="FF030303"/>
        <rFont val="Calibri"/>
        <family val="2"/>
        <charset val="238"/>
        <scheme val="minor"/>
      </rPr>
      <t>ATRIUM SE SCHODIŠTĚM</t>
    </r>
  </si>
  <si>
    <r>
      <rPr>
        <sz val="11"/>
        <color rgb="FF030303"/>
        <rFont val="Calibri"/>
        <family val="2"/>
        <charset val="238"/>
        <scheme val="minor"/>
      </rPr>
      <t>S2</t>
    </r>
  </si>
  <si>
    <r>
      <rPr>
        <sz val="11"/>
        <color rgb="FF010101"/>
        <rFont val="Calibri"/>
        <family val="2"/>
        <charset val="238"/>
        <scheme val="minor"/>
      </rPr>
      <t>A</t>
    </r>
    <r>
      <rPr>
        <sz val="11"/>
        <color rgb="FF424242"/>
        <rFont val="Calibri"/>
        <family val="2"/>
        <charset val="238"/>
        <scheme val="minor"/>
      </rPr>
      <t>.</t>
    </r>
    <r>
      <rPr>
        <sz val="11"/>
        <color rgb="FF010101"/>
        <rFont val="Calibri"/>
        <family val="2"/>
        <charset val="238"/>
        <scheme val="minor"/>
      </rPr>
      <t>217</t>
    </r>
  </si>
  <si>
    <r>
      <rPr>
        <sz val="11"/>
        <color rgb="FF010101"/>
        <rFont val="Calibri"/>
        <family val="2"/>
        <charset val="238"/>
        <scheme val="minor"/>
      </rPr>
      <t>S3a</t>
    </r>
    <r>
      <rPr>
        <sz val="11"/>
        <color rgb="FF424242"/>
        <rFont val="Calibri"/>
        <family val="2"/>
        <charset val="238"/>
        <scheme val="minor"/>
      </rPr>
      <t xml:space="preserve">, </t>
    </r>
    <r>
      <rPr>
        <sz val="11"/>
        <color rgb="FF010101"/>
        <rFont val="Calibri"/>
        <family val="2"/>
        <charset val="238"/>
        <scheme val="minor"/>
      </rPr>
      <t>S3b</t>
    </r>
  </si>
  <si>
    <r>
      <rPr>
        <sz val="11"/>
        <color rgb="FF010101"/>
        <rFont val="Calibri"/>
        <family val="2"/>
        <charset val="238"/>
        <scheme val="minor"/>
      </rPr>
      <t>B</t>
    </r>
    <r>
      <rPr>
        <sz val="11"/>
        <color rgb="FF424242"/>
        <rFont val="Calibri"/>
        <family val="2"/>
        <charset val="238"/>
        <scheme val="minor"/>
      </rPr>
      <t>.</t>
    </r>
    <r>
      <rPr>
        <sz val="11"/>
        <color rgb="FF010101"/>
        <rFont val="Calibri"/>
        <family val="2"/>
        <charset val="238"/>
        <scheme val="minor"/>
      </rPr>
      <t>216</t>
    </r>
  </si>
  <si>
    <r>
      <rPr>
        <sz val="11"/>
        <color rgb="FF010101"/>
        <rFont val="Calibri"/>
        <family val="2"/>
        <charset val="238"/>
        <scheme val="minor"/>
      </rPr>
      <t>S3a</t>
    </r>
    <r>
      <rPr>
        <sz val="11"/>
        <color rgb="FF2A2A2A"/>
        <rFont val="Calibri"/>
        <family val="2"/>
        <charset val="238"/>
        <scheme val="minor"/>
      </rPr>
      <t xml:space="preserve">, </t>
    </r>
    <r>
      <rPr>
        <sz val="11"/>
        <color rgb="FF010101"/>
        <rFont val="Calibri"/>
        <family val="2"/>
        <charset val="238"/>
        <scheme val="minor"/>
      </rPr>
      <t>S3b</t>
    </r>
  </si>
  <si>
    <r>
      <rPr>
        <sz val="11"/>
        <color rgb="FF010101"/>
        <rFont val="Calibri"/>
        <family val="2"/>
        <charset val="238"/>
        <scheme val="minor"/>
      </rPr>
      <t>C</t>
    </r>
    <r>
      <rPr>
        <sz val="11"/>
        <color rgb="FF545454"/>
        <rFont val="Calibri"/>
        <family val="2"/>
        <charset val="238"/>
        <scheme val="minor"/>
      </rPr>
      <t>.</t>
    </r>
    <r>
      <rPr>
        <sz val="11"/>
        <color rgb="FF010101"/>
        <rFont val="Calibri"/>
        <family val="2"/>
        <charset val="238"/>
        <scheme val="minor"/>
      </rPr>
      <t>318</t>
    </r>
  </si>
  <si>
    <r>
      <rPr>
        <sz val="11"/>
        <color rgb="FF111111"/>
        <rFont val="Calibri"/>
        <family val="2"/>
        <charset val="238"/>
        <scheme val="minor"/>
      </rPr>
      <t xml:space="preserve">železobeton </t>
    </r>
    <r>
      <rPr>
        <sz val="11"/>
        <color rgb="FF545454"/>
        <rFont val="Calibri"/>
        <family val="2"/>
        <charset val="238"/>
        <scheme val="minor"/>
      </rPr>
      <t xml:space="preserve">, </t>
    </r>
    <r>
      <rPr>
        <sz val="11"/>
        <color rgb="FF010101"/>
        <rFont val="Calibri"/>
        <family val="2"/>
        <charset val="238"/>
        <scheme val="minor"/>
      </rPr>
      <t>pororošt</t>
    </r>
  </si>
  <si>
    <r>
      <rPr>
        <sz val="11"/>
        <color rgb="FF010101"/>
        <rFont val="Calibri"/>
        <family val="2"/>
        <charset val="238"/>
        <scheme val="minor"/>
      </rPr>
      <t>PAVILON A</t>
    </r>
  </si>
  <si>
    <r>
      <rPr>
        <sz val="11"/>
        <color rgb="FF010101"/>
        <rFont val="Calibri"/>
        <family val="2"/>
        <charset val="238"/>
        <scheme val="minor"/>
      </rPr>
      <t>SPOLEČNÉ PROSTORY</t>
    </r>
  </si>
  <si>
    <r>
      <rPr>
        <sz val="11"/>
        <color rgb="FF010101"/>
        <rFont val="Calibri"/>
        <family val="2"/>
        <charset val="238"/>
        <scheme val="minor"/>
      </rPr>
      <t>A.019</t>
    </r>
  </si>
  <si>
    <r>
      <rPr>
        <sz val="11"/>
        <color rgb="FF010101"/>
        <rFont val="Calibri"/>
        <family val="2"/>
        <charset val="238"/>
        <scheme val="minor"/>
      </rPr>
      <t>ZÁSOBOVACÍ RAMPA</t>
    </r>
  </si>
  <si>
    <r>
      <rPr>
        <sz val="11"/>
        <color rgb="FF010101"/>
        <rFont val="Calibri"/>
        <family val="2"/>
        <charset val="238"/>
        <scheme val="minor"/>
      </rPr>
      <t>PAVILON B</t>
    </r>
  </si>
  <si>
    <r>
      <rPr>
        <sz val="11"/>
        <color rgb="FF010101"/>
        <rFont val="Calibri"/>
        <family val="2"/>
        <charset val="238"/>
        <scheme val="minor"/>
      </rPr>
      <t>PAVILON C</t>
    </r>
  </si>
  <si>
    <r>
      <rPr>
        <sz val="11"/>
        <color rgb="FF030303"/>
        <rFont val="Calibri"/>
        <family val="2"/>
        <charset val="238"/>
        <scheme val="minor"/>
      </rPr>
      <t>PAVILON A</t>
    </r>
  </si>
  <si>
    <r>
      <rPr>
        <sz val="11"/>
        <color rgb="FF030303"/>
        <rFont val="Calibri"/>
        <family val="2"/>
        <charset val="238"/>
        <scheme val="minor"/>
      </rPr>
      <t>SPOLEČNÉ PROSTORY</t>
    </r>
  </si>
  <si>
    <r>
      <rPr>
        <sz val="11"/>
        <color rgb="FF030303"/>
        <rFont val="Calibri"/>
        <family val="2"/>
        <charset val="238"/>
        <scheme val="minor"/>
      </rPr>
      <t>A</t>
    </r>
    <r>
      <rPr>
        <sz val="11"/>
        <color rgb="FF424242"/>
        <rFont val="Calibri"/>
        <family val="2"/>
        <charset val="238"/>
        <scheme val="minor"/>
      </rPr>
      <t>.</t>
    </r>
    <r>
      <rPr>
        <sz val="11"/>
        <color rgb="FF030303"/>
        <rFont val="Calibri"/>
        <family val="2"/>
        <charset val="238"/>
        <scheme val="minor"/>
      </rPr>
      <t>132</t>
    </r>
  </si>
  <si>
    <r>
      <rPr>
        <sz val="11"/>
        <color rgb="FF030303"/>
        <rFont val="Calibri"/>
        <family val="2"/>
        <charset val="238"/>
        <scheme val="minor"/>
      </rPr>
      <t>VENK</t>
    </r>
    <r>
      <rPr>
        <sz val="11"/>
        <color rgb="FF262626"/>
        <rFont val="Calibri"/>
        <family val="2"/>
        <charset val="238"/>
        <scheme val="minor"/>
      </rPr>
      <t xml:space="preserve">. </t>
    </r>
    <r>
      <rPr>
        <sz val="11"/>
        <color rgb="FF030303"/>
        <rFont val="Calibri"/>
        <family val="2"/>
        <charset val="238"/>
        <scheme val="minor"/>
      </rPr>
      <t>ZASTŘ</t>
    </r>
    <r>
      <rPr>
        <sz val="11"/>
        <color rgb="FF262626"/>
        <rFont val="Calibri"/>
        <family val="2"/>
        <charset val="238"/>
        <scheme val="minor"/>
      </rPr>
      <t xml:space="preserve">. </t>
    </r>
    <r>
      <rPr>
        <sz val="11"/>
        <color rgb="FF030303"/>
        <rFont val="Calibri"/>
        <family val="2"/>
        <charset val="238"/>
        <scheme val="minor"/>
      </rPr>
      <t>PROSTOR</t>
    </r>
    <r>
      <rPr>
        <sz val="11"/>
        <color rgb="FF262626"/>
        <rFont val="Calibri"/>
        <family val="2"/>
        <charset val="238"/>
        <scheme val="minor"/>
      </rPr>
      <t xml:space="preserve"> </t>
    </r>
    <r>
      <rPr>
        <sz val="11"/>
        <color rgb="FF030303"/>
        <rFont val="Calibri"/>
        <family val="2"/>
        <charset val="238"/>
        <scheme val="minor"/>
      </rPr>
      <t>PRO ODPAD</t>
    </r>
  </si>
  <si>
    <r>
      <rPr>
        <sz val="11"/>
        <color rgb="FF1A1A1A"/>
        <rFont val="Calibri"/>
        <family val="2"/>
        <charset val="238"/>
        <scheme val="minor"/>
      </rPr>
      <t>PAV</t>
    </r>
    <r>
      <rPr>
        <sz val="11"/>
        <rFont val="Calibri"/>
        <family val="2"/>
        <charset val="238"/>
        <scheme val="minor"/>
      </rPr>
      <t>I</t>
    </r>
    <r>
      <rPr>
        <sz val="11"/>
        <color rgb="FF1A1A1A"/>
        <rFont val="Calibri"/>
        <family val="2"/>
        <charset val="238"/>
        <scheme val="minor"/>
      </rPr>
      <t>LON B</t>
    </r>
  </si>
  <si>
    <r>
      <rPr>
        <sz val="11"/>
        <color rgb="FF1A1A1A"/>
        <rFont val="Calibri"/>
        <family val="2"/>
        <charset val="238"/>
        <scheme val="minor"/>
      </rPr>
      <t>S</t>
    </r>
    <r>
      <rPr>
        <sz val="11"/>
        <rFont val="Calibri"/>
        <family val="2"/>
        <charset val="238"/>
        <scheme val="minor"/>
      </rPr>
      <t>P</t>
    </r>
    <r>
      <rPr>
        <sz val="11"/>
        <color rgb="FF1A1A1A"/>
        <rFont val="Calibri"/>
        <family val="2"/>
        <charset val="238"/>
        <scheme val="minor"/>
      </rPr>
      <t>O</t>
    </r>
    <r>
      <rPr>
        <sz val="11"/>
        <rFont val="Calibri"/>
        <family val="2"/>
        <charset val="238"/>
        <scheme val="minor"/>
      </rPr>
      <t>LE</t>
    </r>
    <r>
      <rPr>
        <sz val="11"/>
        <color rgb="FF1A1A1A"/>
        <rFont val="Calibri"/>
        <family val="2"/>
        <charset val="238"/>
        <scheme val="minor"/>
      </rPr>
      <t>ČNÉ PROS</t>
    </r>
    <r>
      <rPr>
        <sz val="11"/>
        <rFont val="Calibri"/>
        <family val="2"/>
        <charset val="238"/>
        <scheme val="minor"/>
      </rPr>
      <t>T</t>
    </r>
    <r>
      <rPr>
        <sz val="11"/>
        <color rgb="FF1A1A1A"/>
        <rFont val="Calibri"/>
        <family val="2"/>
        <charset val="238"/>
        <scheme val="minor"/>
      </rPr>
      <t>ORY</t>
    </r>
  </si>
  <si>
    <r>
      <rPr>
        <sz val="11"/>
        <color rgb="FF030303"/>
        <rFont val="Calibri"/>
        <family val="2"/>
        <charset val="238"/>
        <scheme val="minor"/>
      </rPr>
      <t>PAVILON C</t>
    </r>
  </si>
  <si>
    <r>
      <rPr>
        <sz val="11"/>
        <color rgb="FF030303"/>
        <rFont val="Calibri"/>
        <family val="2"/>
        <charset val="238"/>
        <scheme val="minor"/>
      </rPr>
      <t>HALA A ADMINISTRATIVA</t>
    </r>
  </si>
  <si>
    <r>
      <rPr>
        <sz val="11"/>
        <color rgb="FF010101"/>
        <rFont val="Calibri"/>
        <family val="2"/>
        <charset val="238"/>
        <scheme val="minor"/>
      </rPr>
      <t>A</t>
    </r>
    <r>
      <rPr>
        <sz val="11"/>
        <color rgb="FF5E5E5E"/>
        <rFont val="Calibri"/>
        <family val="2"/>
        <charset val="238"/>
        <scheme val="minor"/>
      </rPr>
      <t>.</t>
    </r>
    <r>
      <rPr>
        <sz val="11"/>
        <color rgb="FF010101"/>
        <rFont val="Calibri"/>
        <family val="2"/>
        <charset val="238"/>
        <scheme val="minor"/>
      </rPr>
      <t>212</t>
    </r>
  </si>
  <si>
    <r>
      <rPr>
        <sz val="11"/>
        <color rgb="FF010101"/>
        <rFont val="Calibri"/>
        <family val="2"/>
        <charset val="238"/>
        <scheme val="minor"/>
      </rPr>
      <t>NEOBSAZENO</t>
    </r>
  </si>
  <si>
    <r>
      <rPr>
        <sz val="11"/>
        <color rgb="FF010101"/>
        <rFont val="Calibri"/>
        <family val="2"/>
        <charset val="238"/>
        <scheme val="minor"/>
      </rPr>
      <t>A</t>
    </r>
    <r>
      <rPr>
        <sz val="11"/>
        <color rgb="FF424242"/>
        <rFont val="Calibri"/>
        <family val="2"/>
        <charset val="238"/>
        <scheme val="minor"/>
      </rPr>
      <t>.</t>
    </r>
    <r>
      <rPr>
        <sz val="11"/>
        <color rgb="FF010101"/>
        <rFont val="Calibri"/>
        <family val="2"/>
        <charset val="238"/>
        <scheme val="minor"/>
      </rPr>
      <t>213</t>
    </r>
  </si>
  <si>
    <r>
      <rPr>
        <sz val="11"/>
        <color rgb="FF010101"/>
        <rFont val="Calibri"/>
        <family val="2"/>
        <charset val="238"/>
        <scheme val="minor"/>
      </rPr>
      <t>POKOJE</t>
    </r>
  </si>
  <si>
    <r>
      <rPr>
        <sz val="11"/>
        <color rgb="FF010101"/>
        <rFont val="Calibri"/>
        <family val="2"/>
        <charset val="238"/>
        <scheme val="minor"/>
      </rPr>
      <t>B.212a</t>
    </r>
  </si>
  <si>
    <r>
      <rPr>
        <sz val="11"/>
        <color rgb="FF010101"/>
        <rFont val="Calibri"/>
        <family val="2"/>
        <charset val="238"/>
        <scheme val="minor"/>
      </rPr>
      <t>B</t>
    </r>
    <r>
      <rPr>
        <sz val="11"/>
        <color rgb="FF2A2A2A"/>
        <rFont val="Calibri"/>
        <family val="2"/>
        <charset val="238"/>
        <scheme val="minor"/>
      </rPr>
      <t>.</t>
    </r>
    <r>
      <rPr>
        <sz val="11"/>
        <color rgb="FF010101"/>
        <rFont val="Calibri"/>
        <family val="2"/>
        <charset val="238"/>
        <scheme val="minor"/>
      </rPr>
      <t>212b</t>
    </r>
  </si>
  <si>
    <r>
      <rPr>
        <sz val="11"/>
        <color rgb="FF030303"/>
        <rFont val="Calibri"/>
        <family val="2"/>
        <charset val="238"/>
        <scheme val="minor"/>
      </rPr>
      <t>C.212</t>
    </r>
  </si>
  <si>
    <r>
      <rPr>
        <sz val="11"/>
        <color rgb="FF030303"/>
        <rFont val="Calibri"/>
        <family val="2"/>
        <charset val="238"/>
        <scheme val="minor"/>
      </rPr>
      <t>NEOBSAZENO</t>
    </r>
  </si>
  <si>
    <r>
      <rPr>
        <sz val="11"/>
        <color rgb="FF030303"/>
        <rFont val="Calibri"/>
        <family val="2"/>
        <charset val="238"/>
        <scheme val="minor"/>
      </rPr>
      <t>C</t>
    </r>
    <r>
      <rPr>
        <sz val="11"/>
        <color rgb="FF484848"/>
        <rFont val="Calibri"/>
        <family val="2"/>
        <charset val="238"/>
        <scheme val="minor"/>
      </rPr>
      <t>.</t>
    </r>
    <r>
      <rPr>
        <sz val="11"/>
        <color rgb="FF030303"/>
        <rFont val="Calibri"/>
        <family val="2"/>
        <charset val="238"/>
        <scheme val="minor"/>
      </rPr>
      <t>213</t>
    </r>
  </si>
  <si>
    <r>
      <rPr>
        <sz val="11"/>
        <color rgb="FF030303"/>
        <rFont val="Calibri"/>
        <family val="2"/>
        <charset val="238"/>
        <scheme val="minor"/>
      </rPr>
      <t>POKOJE</t>
    </r>
  </si>
  <si>
    <r>
      <rPr>
        <sz val="11"/>
        <color rgb="FF030303"/>
        <rFont val="Calibri"/>
        <family val="2"/>
        <charset val="238"/>
        <scheme val="minor"/>
      </rPr>
      <t>A</t>
    </r>
    <r>
      <rPr>
        <sz val="11"/>
        <color rgb="FF575757"/>
        <rFont val="Calibri"/>
        <family val="2"/>
        <charset val="238"/>
        <scheme val="minor"/>
      </rPr>
      <t>.</t>
    </r>
    <r>
      <rPr>
        <sz val="11"/>
        <color rgb="FF030303"/>
        <rFont val="Calibri"/>
        <family val="2"/>
        <charset val="238"/>
        <scheme val="minor"/>
      </rPr>
      <t>312</t>
    </r>
  </si>
  <si>
    <r>
      <rPr>
        <sz val="11"/>
        <color rgb="FF010101"/>
        <rFont val="Calibri"/>
        <family val="2"/>
        <charset val="238"/>
        <scheme val="minor"/>
      </rPr>
      <t>C</t>
    </r>
    <r>
      <rPr>
        <sz val="11"/>
        <color rgb="FF545454"/>
        <rFont val="Calibri"/>
        <family val="2"/>
        <charset val="238"/>
        <scheme val="minor"/>
      </rPr>
      <t>.</t>
    </r>
    <r>
      <rPr>
        <sz val="11"/>
        <color rgb="FF010101"/>
        <rFont val="Calibri"/>
        <family val="2"/>
        <charset val="238"/>
        <scheme val="minor"/>
      </rPr>
      <t>312</t>
    </r>
  </si>
  <si>
    <r>
      <rPr>
        <sz val="11"/>
        <color rgb="FF010101"/>
        <rFont val="Calibri"/>
        <family val="2"/>
        <charset val="238"/>
        <scheme val="minor"/>
      </rPr>
      <t>A.412</t>
    </r>
  </si>
  <si>
    <r>
      <rPr>
        <sz val="11"/>
        <color rgb="FF010101"/>
        <rFont val="Calibri"/>
        <family val="2"/>
        <charset val="238"/>
        <scheme val="minor"/>
      </rPr>
      <t>A.413</t>
    </r>
  </si>
  <si>
    <r>
      <rPr>
        <sz val="11"/>
        <color rgb="FF010101"/>
        <rFont val="Calibri"/>
        <family val="2"/>
        <charset val="238"/>
        <scheme val="minor"/>
      </rPr>
      <t>B.412a</t>
    </r>
  </si>
  <si>
    <r>
      <rPr>
        <sz val="11"/>
        <color rgb="FF010101"/>
        <rFont val="Calibri"/>
        <family val="2"/>
        <charset val="238"/>
        <scheme val="minor"/>
      </rPr>
      <t>B.412b</t>
    </r>
  </si>
  <si>
    <r>
      <rPr>
        <sz val="11"/>
        <color rgb="FF010101"/>
        <rFont val="Calibri"/>
        <family val="2"/>
        <charset val="238"/>
        <scheme val="minor"/>
      </rPr>
      <t>C.412</t>
    </r>
  </si>
  <si>
    <r>
      <rPr>
        <sz val="11"/>
        <color rgb="FF010101"/>
        <rFont val="Calibri"/>
        <family val="2"/>
        <charset val="238"/>
        <scheme val="minor"/>
      </rPr>
      <t>C.413</t>
    </r>
  </si>
  <si>
    <t>B.120</t>
  </si>
  <si>
    <t>TECHNICKÝ PROSTOR</t>
  </si>
  <si>
    <r>
      <rPr>
        <sz val="11"/>
        <color rgb="FF030303"/>
        <rFont val="Calibri"/>
        <family val="2"/>
        <charset val="238"/>
        <scheme val="minor"/>
      </rPr>
      <t>P13</t>
    </r>
    <r>
      <rPr>
        <sz val="11"/>
        <color rgb="FF444444"/>
        <rFont val="Calibri"/>
        <family val="2"/>
        <charset val="238"/>
        <scheme val="minor"/>
      </rPr>
      <t xml:space="preserve">, </t>
    </r>
    <r>
      <rPr>
        <sz val="11"/>
        <color rgb="FF030303"/>
        <rFont val="Calibri"/>
        <family val="2"/>
        <charset val="238"/>
        <scheme val="minor"/>
      </rPr>
      <t>rostlý terén</t>
    </r>
  </si>
  <si>
    <r>
      <rPr>
        <sz val="11"/>
        <color rgb="FF030303"/>
        <rFont val="Calibri"/>
        <family val="2"/>
        <charset val="238"/>
        <scheme val="minor"/>
      </rPr>
      <t>P4</t>
    </r>
    <r>
      <rPr>
        <sz val="11"/>
        <color rgb="FF262626"/>
        <rFont val="Calibri"/>
        <family val="2"/>
        <charset val="238"/>
        <scheme val="minor"/>
      </rPr>
      <t xml:space="preserve">, </t>
    </r>
    <r>
      <rPr>
        <sz val="11"/>
        <color rgb="FF030303"/>
        <rFont val="Calibri"/>
        <family val="2"/>
        <charset val="238"/>
        <scheme val="minor"/>
      </rPr>
      <t>P8</t>
    </r>
  </si>
  <si>
    <r>
      <rPr>
        <sz val="11"/>
        <color rgb="FF1A1A1A"/>
        <rFont val="Calibri"/>
        <family val="2"/>
        <charset val="238"/>
        <scheme val="minor"/>
      </rPr>
      <t>B</t>
    </r>
    <r>
      <rPr>
        <sz val="11"/>
        <color rgb="FF363636"/>
        <rFont val="Calibri"/>
        <family val="2"/>
        <charset val="238"/>
        <scheme val="minor"/>
      </rPr>
      <t>.</t>
    </r>
    <r>
      <rPr>
        <sz val="11"/>
        <color rgb="FF1A1A1A"/>
        <rFont val="Calibri"/>
        <family val="2"/>
        <charset val="238"/>
        <scheme val="minor"/>
      </rPr>
      <t>104</t>
    </r>
  </si>
  <si>
    <r>
      <rPr>
        <sz val="11"/>
        <color rgb="FF1A1A1A"/>
        <rFont val="Calibri"/>
        <family val="2"/>
        <charset val="238"/>
        <scheme val="minor"/>
      </rPr>
      <t>CHODBA</t>
    </r>
  </si>
  <si>
    <r>
      <rPr>
        <sz val="11"/>
        <color rgb="FF1A1A1A"/>
        <rFont val="Calibri"/>
        <family val="2"/>
        <charset val="238"/>
        <scheme val="minor"/>
      </rPr>
      <t>P4</t>
    </r>
    <r>
      <rPr>
        <sz val="11"/>
        <color rgb="FF4B4B4B"/>
        <rFont val="Calibri"/>
        <family val="2"/>
        <charset val="238"/>
        <scheme val="minor"/>
      </rPr>
      <t xml:space="preserve">, </t>
    </r>
    <r>
      <rPr>
        <sz val="11"/>
        <color rgb="FF363636"/>
        <rFont val="Calibri"/>
        <family val="2"/>
        <charset val="238"/>
        <scheme val="minor"/>
      </rPr>
      <t>P8</t>
    </r>
  </si>
  <si>
    <r>
      <rPr>
        <sz val="11"/>
        <color rgb="FF1A1A1A"/>
        <rFont val="Calibri"/>
        <family val="2"/>
        <charset val="238"/>
        <scheme val="minor"/>
      </rPr>
      <t>B.</t>
    </r>
    <r>
      <rPr>
        <sz val="11"/>
        <rFont val="Calibri"/>
        <family val="2"/>
        <charset val="238"/>
        <scheme val="minor"/>
      </rPr>
      <t>1</t>
    </r>
    <r>
      <rPr>
        <sz val="11"/>
        <color rgb="FF1A1A1A"/>
        <rFont val="Calibri"/>
        <family val="2"/>
        <charset val="238"/>
        <scheme val="minor"/>
      </rPr>
      <t>23</t>
    </r>
  </si>
  <si>
    <r>
      <rPr>
        <sz val="11"/>
        <color rgb="FF1A1A1A"/>
        <rFont val="Calibri"/>
        <family val="2"/>
        <charset val="238"/>
        <scheme val="minor"/>
      </rPr>
      <t>SK</t>
    </r>
    <r>
      <rPr>
        <sz val="11"/>
        <rFont val="Calibri"/>
        <family val="2"/>
        <charset val="238"/>
        <scheme val="minor"/>
      </rPr>
      <t>L</t>
    </r>
    <r>
      <rPr>
        <sz val="11"/>
        <color rgb="FF1A1A1A"/>
        <rFont val="Calibri"/>
        <family val="2"/>
        <charset val="238"/>
        <scheme val="minor"/>
      </rPr>
      <t>A</t>
    </r>
    <r>
      <rPr>
        <sz val="11"/>
        <rFont val="Calibri"/>
        <family val="2"/>
        <charset val="238"/>
        <scheme val="minor"/>
      </rPr>
      <t xml:space="preserve">D </t>
    </r>
    <r>
      <rPr>
        <sz val="11"/>
        <color rgb="FF1A1A1A"/>
        <rFont val="Calibri"/>
        <family val="2"/>
        <charset val="238"/>
        <scheme val="minor"/>
      </rPr>
      <t>KAVÁRNA</t>
    </r>
  </si>
  <si>
    <r>
      <t>B</t>
    </r>
    <r>
      <rPr>
        <sz val="11"/>
        <color rgb="FF363636"/>
        <rFont val="Calibri"/>
        <family val="2"/>
        <charset val="238"/>
        <scheme val="minor"/>
      </rPr>
      <t>.</t>
    </r>
    <r>
      <rPr>
        <sz val="11"/>
        <color rgb="FF1A1A1A"/>
        <rFont val="Calibri"/>
        <family val="2"/>
        <charset val="238"/>
        <scheme val="minor"/>
      </rPr>
      <t>1</t>
    </r>
    <r>
      <rPr>
        <sz val="11"/>
        <color rgb="FF363636"/>
        <rFont val="Calibri"/>
        <family val="2"/>
        <charset val="238"/>
        <scheme val="minor"/>
      </rPr>
      <t>3</t>
    </r>
    <r>
      <rPr>
        <sz val="11"/>
        <color rgb="FF1A1A1A"/>
        <rFont val="Calibri"/>
        <family val="2"/>
        <charset val="238"/>
        <scheme val="minor"/>
      </rPr>
      <t>0</t>
    </r>
    <r>
      <rPr>
        <sz val="11"/>
        <color rgb="FF363636"/>
        <rFont val="Calibri"/>
        <family val="2"/>
        <charset val="238"/>
        <scheme val="minor"/>
      </rPr>
      <t>a</t>
    </r>
  </si>
  <si>
    <r>
      <t>H</t>
    </r>
    <r>
      <rPr>
        <sz val="11"/>
        <color rgb="FF1A1A1A"/>
        <rFont val="Calibri"/>
        <family val="2"/>
        <charset val="238"/>
        <scheme val="minor"/>
      </rPr>
      <t>R</t>
    </r>
    <r>
      <rPr>
        <sz val="11"/>
        <rFont val="Calibri"/>
        <family val="2"/>
        <charset val="238"/>
        <scheme val="minor"/>
      </rPr>
      <t>U</t>
    </r>
    <r>
      <rPr>
        <sz val="11"/>
        <color rgb="FF1A1A1A"/>
        <rFont val="Calibri"/>
        <family val="2"/>
        <charset val="238"/>
        <scheme val="minor"/>
      </rPr>
      <t>BÁ Z</t>
    </r>
    <r>
      <rPr>
        <sz val="11"/>
        <rFont val="Calibri"/>
        <family val="2"/>
        <charset val="238"/>
        <scheme val="minor"/>
      </rPr>
      <t>ELENIN</t>
    </r>
    <r>
      <rPr>
        <sz val="11"/>
        <color rgb="FF1A1A1A"/>
        <rFont val="Calibri"/>
        <family val="2"/>
        <charset val="238"/>
        <scheme val="minor"/>
      </rPr>
      <t>A PŘ</t>
    </r>
    <r>
      <rPr>
        <sz val="11"/>
        <rFont val="Calibri"/>
        <family val="2"/>
        <charset val="238"/>
        <scheme val="minor"/>
      </rPr>
      <t>Í</t>
    </r>
    <r>
      <rPr>
        <sz val="11"/>
        <color rgb="FF1A1A1A"/>
        <rFont val="Calibri"/>
        <family val="2"/>
        <charset val="238"/>
        <scheme val="minor"/>
      </rPr>
      <t>PRAV</t>
    </r>
    <r>
      <rPr>
        <sz val="11"/>
        <rFont val="Calibri"/>
        <family val="2"/>
        <charset val="238"/>
        <scheme val="minor"/>
      </rPr>
      <t>N</t>
    </r>
    <r>
      <rPr>
        <sz val="11"/>
        <color rgb="FF1A1A1A"/>
        <rFont val="Calibri"/>
        <family val="2"/>
        <charset val="238"/>
        <scheme val="minor"/>
      </rPr>
      <t>A</t>
    </r>
  </si>
  <si>
    <r>
      <rPr>
        <sz val="11"/>
        <color rgb="FF1A1A1A"/>
        <rFont val="Calibri"/>
        <family val="2"/>
        <charset val="238"/>
        <scheme val="minor"/>
      </rPr>
      <t>P6d, P</t>
    </r>
    <r>
      <rPr>
        <sz val="11"/>
        <color rgb="FF363636"/>
        <rFont val="Calibri"/>
        <family val="2"/>
        <charset val="238"/>
        <scheme val="minor"/>
      </rPr>
      <t>9</t>
    </r>
    <r>
      <rPr>
        <sz val="11"/>
        <rFont val="Calibri"/>
        <family val="2"/>
        <charset val="238"/>
        <scheme val="minor"/>
      </rPr>
      <t>b</t>
    </r>
  </si>
  <si>
    <r>
      <rPr>
        <sz val="11"/>
        <color rgb="FF1A1A1A"/>
        <rFont val="Calibri"/>
        <family val="2"/>
        <charset val="238"/>
        <scheme val="minor"/>
      </rPr>
      <t>B.1</t>
    </r>
    <r>
      <rPr>
        <sz val="11"/>
        <color rgb="FF363636"/>
        <rFont val="Calibri"/>
        <family val="2"/>
        <charset val="238"/>
        <scheme val="minor"/>
      </rPr>
      <t>3</t>
    </r>
    <r>
      <rPr>
        <sz val="11"/>
        <color rgb="FF1A1A1A"/>
        <rFont val="Calibri"/>
        <family val="2"/>
        <charset val="238"/>
        <scheme val="minor"/>
      </rPr>
      <t>1</t>
    </r>
    <r>
      <rPr>
        <sz val="11"/>
        <color rgb="FF363636"/>
        <rFont val="Calibri"/>
        <family val="2"/>
        <charset val="238"/>
        <scheme val="minor"/>
      </rPr>
      <t>a</t>
    </r>
  </si>
  <si>
    <r>
      <rPr>
        <sz val="11"/>
        <color rgb="FF1A1A1A"/>
        <rFont val="Calibri"/>
        <family val="2"/>
        <charset val="238"/>
        <scheme val="minor"/>
      </rPr>
      <t>B.</t>
    </r>
    <r>
      <rPr>
        <sz val="11"/>
        <rFont val="Calibri"/>
        <family val="2"/>
        <charset val="238"/>
        <scheme val="minor"/>
      </rPr>
      <t>1</t>
    </r>
    <r>
      <rPr>
        <sz val="11"/>
        <color rgb="FF1A1A1A"/>
        <rFont val="Calibri"/>
        <family val="2"/>
        <charset val="238"/>
        <scheme val="minor"/>
      </rPr>
      <t>40</t>
    </r>
  </si>
  <si>
    <r>
      <rPr>
        <sz val="11"/>
        <color rgb="FF1A1A1A"/>
        <rFont val="Calibri"/>
        <family val="2"/>
        <charset val="238"/>
        <scheme val="minor"/>
      </rPr>
      <t>MAN</t>
    </r>
    <r>
      <rPr>
        <sz val="11"/>
        <rFont val="Calibri"/>
        <family val="2"/>
        <charset val="238"/>
        <scheme val="minor"/>
      </rPr>
      <t>IPUL</t>
    </r>
    <r>
      <rPr>
        <sz val="11"/>
        <color rgb="FF1A1A1A"/>
        <rFont val="Calibri"/>
        <family val="2"/>
        <charset val="238"/>
        <scheme val="minor"/>
      </rPr>
      <t>AČN</t>
    </r>
    <r>
      <rPr>
        <sz val="11"/>
        <rFont val="Calibri"/>
        <family val="2"/>
        <charset val="238"/>
        <scheme val="minor"/>
      </rPr>
      <t>Í PR</t>
    </r>
    <r>
      <rPr>
        <sz val="11"/>
        <color rgb="FF1A1A1A"/>
        <rFont val="Calibri"/>
        <family val="2"/>
        <charset val="238"/>
        <scheme val="minor"/>
      </rPr>
      <t>OS</t>
    </r>
    <r>
      <rPr>
        <sz val="11"/>
        <rFont val="Calibri"/>
        <family val="2"/>
        <charset val="238"/>
        <scheme val="minor"/>
      </rPr>
      <t>T</t>
    </r>
    <r>
      <rPr>
        <sz val="11"/>
        <color rgb="FF1A1A1A"/>
        <rFont val="Calibri"/>
        <family val="2"/>
        <charset val="238"/>
        <scheme val="minor"/>
      </rPr>
      <t>O</t>
    </r>
    <r>
      <rPr>
        <sz val="11"/>
        <rFont val="Calibri"/>
        <family val="2"/>
        <charset val="238"/>
        <scheme val="minor"/>
      </rPr>
      <t xml:space="preserve">R </t>
    </r>
    <r>
      <rPr>
        <sz val="11"/>
        <color rgb="FF1A1A1A"/>
        <rFont val="Calibri"/>
        <family val="2"/>
        <charset val="238"/>
        <scheme val="minor"/>
      </rPr>
      <t>VOZÍKŮ</t>
    </r>
  </si>
  <si>
    <r>
      <rPr>
        <sz val="11"/>
        <color rgb="FF1A1A1A"/>
        <rFont val="Calibri"/>
        <family val="2"/>
        <charset val="238"/>
        <scheme val="minor"/>
      </rPr>
      <t>B.15</t>
    </r>
    <r>
      <rPr>
        <sz val="11"/>
        <rFont val="Calibri"/>
        <family val="2"/>
        <charset val="238"/>
        <scheme val="minor"/>
      </rPr>
      <t>1</t>
    </r>
  </si>
  <si>
    <r>
      <rPr>
        <sz val="11"/>
        <color rgb="FF1A1A1A"/>
        <rFont val="Calibri"/>
        <family val="2"/>
        <charset val="238"/>
        <scheme val="minor"/>
      </rPr>
      <t>C</t>
    </r>
    <r>
      <rPr>
        <sz val="11"/>
        <rFont val="Calibri"/>
        <family val="2"/>
        <charset val="238"/>
        <scheme val="minor"/>
      </rPr>
      <t>H</t>
    </r>
    <r>
      <rPr>
        <sz val="11"/>
        <color rgb="FF1A1A1A"/>
        <rFont val="Calibri"/>
        <family val="2"/>
        <charset val="238"/>
        <scheme val="minor"/>
      </rPr>
      <t>O</t>
    </r>
    <r>
      <rPr>
        <sz val="11"/>
        <rFont val="Calibri"/>
        <family val="2"/>
        <charset val="238"/>
        <scheme val="minor"/>
      </rPr>
      <t>D</t>
    </r>
    <r>
      <rPr>
        <sz val="11"/>
        <color rgb="FF1A1A1A"/>
        <rFont val="Calibri"/>
        <family val="2"/>
        <charset val="238"/>
        <scheme val="minor"/>
      </rPr>
      <t>BA</t>
    </r>
  </si>
  <si>
    <r>
      <rPr>
        <sz val="11"/>
        <color rgb="FF030303"/>
        <rFont val="Calibri"/>
        <family val="2"/>
        <charset val="238"/>
        <scheme val="minor"/>
      </rPr>
      <t>P8</t>
    </r>
    <r>
      <rPr>
        <sz val="11"/>
        <color rgb="FF595959"/>
        <rFont val="Calibri"/>
        <family val="2"/>
        <charset val="238"/>
        <scheme val="minor"/>
      </rPr>
      <t xml:space="preserve">, </t>
    </r>
    <r>
      <rPr>
        <sz val="11"/>
        <color rgb="FF030303"/>
        <rFont val="Calibri"/>
        <family val="2"/>
        <charset val="238"/>
        <scheme val="minor"/>
      </rPr>
      <t>P12</t>
    </r>
  </si>
  <si>
    <r>
      <rPr>
        <sz val="11"/>
        <color rgb="FF030303"/>
        <rFont val="Calibri"/>
        <family val="2"/>
        <charset val="238"/>
        <scheme val="minor"/>
      </rPr>
      <t>P8</t>
    </r>
    <r>
      <rPr>
        <sz val="11"/>
        <color rgb="FF444444"/>
        <rFont val="Calibri"/>
        <family val="2"/>
        <charset val="238"/>
        <scheme val="minor"/>
      </rPr>
      <t xml:space="preserve">, </t>
    </r>
    <r>
      <rPr>
        <sz val="11"/>
        <color rgb="FF030303"/>
        <rFont val="Calibri"/>
        <family val="2"/>
        <charset val="238"/>
        <scheme val="minor"/>
      </rPr>
      <t>P12</t>
    </r>
  </si>
  <si>
    <r>
      <rPr>
        <sz val="11"/>
        <color rgb="FF030303"/>
        <rFont val="Calibri"/>
        <family val="2"/>
        <charset val="238"/>
        <scheme val="minor"/>
      </rPr>
      <t>C</t>
    </r>
    <r>
      <rPr>
        <sz val="11"/>
        <color rgb="FF565656"/>
        <rFont val="Calibri"/>
        <family val="2"/>
        <charset val="238"/>
        <scheme val="minor"/>
      </rPr>
      <t>.</t>
    </r>
    <r>
      <rPr>
        <sz val="11"/>
        <color rgb="FF030303"/>
        <rFont val="Calibri"/>
        <family val="2"/>
        <charset val="238"/>
        <scheme val="minor"/>
      </rPr>
      <t>208c</t>
    </r>
  </si>
  <si>
    <r>
      <rPr>
        <sz val="11"/>
        <color rgb="FF030303"/>
        <rFont val="Calibri"/>
        <family val="2"/>
        <charset val="238"/>
        <scheme val="minor"/>
      </rPr>
      <t>P1</t>
    </r>
    <r>
      <rPr>
        <sz val="11"/>
        <color rgb="FF1C1C1C"/>
        <rFont val="Calibri"/>
        <family val="2"/>
        <charset val="238"/>
        <scheme val="minor"/>
      </rPr>
      <t xml:space="preserve">6b, </t>
    </r>
    <r>
      <rPr>
        <sz val="11"/>
        <color rgb="FF030303"/>
        <rFont val="Calibri"/>
        <family val="2"/>
        <charset val="238"/>
        <scheme val="minor"/>
      </rPr>
      <t>P19b</t>
    </r>
  </si>
  <si>
    <r>
      <rPr>
        <sz val="11"/>
        <color rgb="FF030303"/>
        <rFont val="Calibri"/>
        <family val="2"/>
        <charset val="238"/>
        <scheme val="minor"/>
      </rPr>
      <t>C.209</t>
    </r>
  </si>
  <si>
    <r>
      <rPr>
        <sz val="11"/>
        <color rgb="FF030303"/>
        <rFont val="Calibri"/>
        <family val="2"/>
        <charset val="238"/>
        <scheme val="minor"/>
      </rPr>
      <t>P17</t>
    </r>
    <r>
      <rPr>
        <sz val="11"/>
        <color rgb="FF2A2A2A"/>
        <rFont val="Calibri"/>
        <family val="2"/>
        <charset val="238"/>
        <scheme val="minor"/>
      </rPr>
      <t xml:space="preserve">, </t>
    </r>
    <r>
      <rPr>
        <sz val="11"/>
        <color rgb="FF030303"/>
        <rFont val="Calibri"/>
        <family val="2"/>
        <charset val="238"/>
        <scheme val="minor"/>
      </rPr>
      <t>P20</t>
    </r>
  </si>
  <si>
    <r>
      <rPr>
        <sz val="11"/>
        <color rgb="FF030303"/>
        <rFont val="Calibri"/>
        <family val="2"/>
        <charset val="238"/>
        <scheme val="minor"/>
      </rPr>
      <t>A.105</t>
    </r>
  </si>
  <si>
    <r>
      <rPr>
        <sz val="11"/>
        <color rgb="FF030303"/>
        <rFont val="Calibri"/>
        <family val="2"/>
        <charset val="238"/>
        <scheme val="minor"/>
      </rPr>
      <t>ČEKÁRNA</t>
    </r>
  </si>
  <si>
    <r>
      <rPr>
        <sz val="11"/>
        <color rgb="FF030303"/>
        <rFont val="Calibri"/>
        <family val="2"/>
        <charset val="238"/>
        <scheme val="minor"/>
      </rPr>
      <t>P3</t>
    </r>
    <r>
      <rPr>
        <sz val="11"/>
        <color rgb="FF262626"/>
        <rFont val="Calibri"/>
        <family val="2"/>
        <charset val="238"/>
        <scheme val="minor"/>
      </rPr>
      <t xml:space="preserve">, </t>
    </r>
    <r>
      <rPr>
        <sz val="11"/>
        <color rgb="FF030303"/>
        <rFont val="Calibri"/>
        <family val="2"/>
        <charset val="238"/>
        <scheme val="minor"/>
      </rPr>
      <t>P7</t>
    </r>
  </si>
  <si>
    <r>
      <rPr>
        <sz val="11"/>
        <color rgb="FF030303"/>
        <rFont val="Calibri"/>
        <family val="2"/>
        <charset val="238"/>
        <scheme val="minor"/>
      </rPr>
      <t>P7</t>
    </r>
    <r>
      <rPr>
        <sz val="11"/>
        <color rgb="FF444444"/>
        <rFont val="Calibri"/>
        <family val="2"/>
        <charset val="238"/>
        <scheme val="minor"/>
      </rPr>
      <t xml:space="preserve">, </t>
    </r>
    <r>
      <rPr>
        <sz val="11"/>
        <color rgb="FF030303"/>
        <rFont val="Calibri"/>
        <family val="2"/>
        <charset val="238"/>
        <scheme val="minor"/>
      </rPr>
      <t>P11</t>
    </r>
  </si>
  <si>
    <r>
      <rPr>
        <sz val="11"/>
        <color rgb="FF030303"/>
        <rFont val="Calibri"/>
        <family val="2"/>
        <charset val="238"/>
        <scheme val="minor"/>
      </rPr>
      <t>H</t>
    </r>
    <r>
      <rPr>
        <sz val="11"/>
        <color rgb="FF444444"/>
        <rFont val="Calibri"/>
        <family val="2"/>
        <charset val="238"/>
        <scheme val="minor"/>
      </rPr>
      <t>.</t>
    </r>
    <r>
      <rPr>
        <sz val="11"/>
        <color rgb="FF030303"/>
        <rFont val="Calibri"/>
        <family val="2"/>
        <charset val="238"/>
        <scheme val="minor"/>
      </rPr>
      <t>130</t>
    </r>
  </si>
  <si>
    <r>
      <rPr>
        <sz val="11"/>
        <color rgb="FF030303"/>
        <rFont val="Calibri"/>
        <family val="2"/>
        <charset val="238"/>
        <scheme val="minor"/>
      </rPr>
      <t xml:space="preserve">P3 </t>
    </r>
    <r>
      <rPr>
        <sz val="11"/>
        <color rgb="FF444444"/>
        <rFont val="Calibri"/>
        <family val="2"/>
        <charset val="238"/>
        <scheme val="minor"/>
      </rPr>
      <t xml:space="preserve">, </t>
    </r>
    <r>
      <rPr>
        <sz val="11"/>
        <color rgb="FF030303"/>
        <rFont val="Calibri"/>
        <family val="2"/>
        <charset val="238"/>
        <scheme val="minor"/>
      </rPr>
      <t>P7</t>
    </r>
  </si>
  <si>
    <r>
      <rPr>
        <sz val="11"/>
        <color rgb="FF030303"/>
        <rFont val="Calibri"/>
        <family val="2"/>
        <charset val="238"/>
        <scheme val="minor"/>
      </rPr>
      <t>C.205</t>
    </r>
  </si>
  <si>
    <r>
      <rPr>
        <sz val="11"/>
        <color rgb="FF030303"/>
        <rFont val="Calibri"/>
        <family val="2"/>
        <charset val="238"/>
        <scheme val="minor"/>
      </rPr>
      <t>C.206</t>
    </r>
  </si>
  <si>
    <r>
      <rPr>
        <sz val="11"/>
        <color rgb="FF030303"/>
        <rFont val="Calibri"/>
        <family val="2"/>
        <charset val="238"/>
        <scheme val="minor"/>
      </rPr>
      <t>P17</t>
    </r>
    <r>
      <rPr>
        <sz val="11"/>
        <color rgb="FF1C1C1C"/>
        <rFont val="Calibri"/>
        <family val="2"/>
        <charset val="238"/>
        <scheme val="minor"/>
      </rPr>
      <t xml:space="preserve">, </t>
    </r>
    <r>
      <rPr>
        <sz val="11"/>
        <color rgb="FF030303"/>
        <rFont val="Calibri"/>
        <family val="2"/>
        <charset val="238"/>
        <scheme val="minor"/>
      </rPr>
      <t>P20</t>
    </r>
  </si>
  <si>
    <r>
      <rPr>
        <sz val="11"/>
        <color rgb="FF010101"/>
        <rFont val="Calibri"/>
        <family val="2"/>
        <charset val="238"/>
        <scheme val="minor"/>
      </rPr>
      <t>C</t>
    </r>
    <r>
      <rPr>
        <sz val="11"/>
        <color rgb="FF545454"/>
        <rFont val="Calibri"/>
        <family val="2"/>
        <charset val="238"/>
        <scheme val="minor"/>
      </rPr>
      <t>.</t>
    </r>
    <r>
      <rPr>
        <sz val="11"/>
        <color rgb="FF010101"/>
        <rFont val="Calibri"/>
        <family val="2"/>
        <charset val="238"/>
        <scheme val="minor"/>
      </rPr>
      <t>306</t>
    </r>
  </si>
  <si>
    <r>
      <rPr>
        <sz val="11"/>
        <color rgb="FF010101"/>
        <rFont val="Calibri"/>
        <family val="2"/>
        <charset val="238"/>
        <scheme val="minor"/>
      </rPr>
      <t>P17</t>
    </r>
    <r>
      <rPr>
        <sz val="11"/>
        <color rgb="FF2A2A2A"/>
        <rFont val="Calibri"/>
        <family val="2"/>
        <charset val="238"/>
        <scheme val="minor"/>
      </rPr>
      <t xml:space="preserve">, </t>
    </r>
    <r>
      <rPr>
        <sz val="11"/>
        <color rgb="FF010101"/>
        <rFont val="Calibri"/>
        <family val="2"/>
        <charset val="238"/>
        <scheme val="minor"/>
      </rPr>
      <t>P20</t>
    </r>
  </si>
  <si>
    <r>
      <t>B</t>
    </r>
    <r>
      <rPr>
        <sz val="11"/>
        <color rgb="FF363636"/>
        <rFont val="Calibri"/>
        <family val="2"/>
        <charset val="238"/>
        <scheme val="minor"/>
      </rPr>
      <t>.</t>
    </r>
    <r>
      <rPr>
        <sz val="11"/>
        <color rgb="FF1A1A1A"/>
        <rFont val="Calibri"/>
        <family val="2"/>
        <charset val="238"/>
        <scheme val="minor"/>
      </rPr>
      <t>122</t>
    </r>
  </si>
  <si>
    <r>
      <rPr>
        <sz val="11"/>
        <color rgb="FF1A1A1A"/>
        <rFont val="Calibri"/>
        <family val="2"/>
        <charset val="238"/>
        <scheme val="minor"/>
      </rPr>
      <t>K</t>
    </r>
    <r>
      <rPr>
        <sz val="11"/>
        <rFont val="Calibri"/>
        <family val="2"/>
        <charset val="238"/>
        <scheme val="minor"/>
      </rPr>
      <t>U</t>
    </r>
    <r>
      <rPr>
        <sz val="11"/>
        <color rgb="FF1A1A1A"/>
        <rFont val="Calibri"/>
        <family val="2"/>
        <charset val="238"/>
        <scheme val="minor"/>
      </rPr>
      <t>C</t>
    </r>
    <r>
      <rPr>
        <sz val="11"/>
        <rFont val="Calibri"/>
        <family val="2"/>
        <charset val="238"/>
        <scheme val="minor"/>
      </rPr>
      <t>H</t>
    </r>
    <r>
      <rPr>
        <sz val="11"/>
        <color rgb="FF1A1A1A"/>
        <rFont val="Calibri"/>
        <family val="2"/>
        <charset val="238"/>
        <scheme val="minor"/>
      </rPr>
      <t>YŇ</t>
    </r>
  </si>
  <si>
    <r>
      <rPr>
        <sz val="11"/>
        <color rgb="FF1A1A1A"/>
        <rFont val="Calibri"/>
        <family val="2"/>
        <charset val="238"/>
        <scheme val="minor"/>
      </rPr>
      <t>P5b</t>
    </r>
    <r>
      <rPr>
        <sz val="11"/>
        <color rgb="FF626262"/>
        <rFont val="Calibri"/>
        <family val="2"/>
        <charset val="238"/>
        <scheme val="minor"/>
      </rPr>
      <t xml:space="preserve">, </t>
    </r>
    <r>
      <rPr>
        <sz val="11"/>
        <color rgb="FF363636"/>
        <rFont val="Calibri"/>
        <family val="2"/>
        <charset val="238"/>
        <scheme val="minor"/>
      </rPr>
      <t>P9b</t>
    </r>
  </si>
  <si>
    <r>
      <rPr>
        <sz val="11"/>
        <color rgb="FF4B4B4B"/>
        <rFont val="Calibri"/>
        <family val="2"/>
        <charset val="238"/>
        <scheme val="minor"/>
      </rPr>
      <t>v</t>
    </r>
    <r>
      <rPr>
        <sz val="11"/>
        <color rgb="FF1A1A1A"/>
        <rFont val="Calibri"/>
        <family val="2"/>
        <charset val="238"/>
        <scheme val="minor"/>
      </rPr>
      <t xml:space="preserve">zt </t>
    </r>
    <r>
      <rPr>
        <sz val="11"/>
        <color rgb="FF363636"/>
        <rFont val="Calibri"/>
        <family val="2"/>
        <charset val="238"/>
        <scheme val="minor"/>
      </rPr>
      <t>strop</t>
    </r>
    <r>
      <rPr>
        <sz val="11"/>
        <rFont val="Calibri"/>
        <family val="2"/>
        <charset val="238"/>
        <scheme val="minor"/>
      </rPr>
      <t>-</t>
    </r>
    <r>
      <rPr>
        <sz val="11"/>
        <color rgb="FF363636"/>
        <rFont val="Calibri"/>
        <family val="2"/>
        <charset val="238"/>
        <scheme val="minor"/>
      </rPr>
      <t>v</t>
    </r>
    <r>
      <rPr>
        <sz val="11"/>
        <color rgb="FF1A1A1A"/>
        <rFont val="Calibri"/>
        <family val="2"/>
        <charset val="238"/>
        <scheme val="minor"/>
      </rPr>
      <t xml:space="preserve">iz </t>
    </r>
    <r>
      <rPr>
        <sz val="11"/>
        <color rgb="FF363636"/>
        <rFont val="Calibri"/>
        <family val="2"/>
        <charset val="238"/>
        <scheme val="minor"/>
      </rPr>
      <t>gas</t>
    </r>
    <r>
      <rPr>
        <sz val="11"/>
        <color rgb="FF1A1A1A"/>
        <rFont val="Calibri"/>
        <family val="2"/>
        <charset val="238"/>
        <scheme val="minor"/>
      </rPr>
      <t>t</t>
    </r>
    <r>
      <rPr>
        <sz val="11"/>
        <color rgb="FF363636"/>
        <rFont val="Calibri"/>
        <family val="2"/>
        <charset val="238"/>
        <scheme val="minor"/>
      </rPr>
      <t>ro/T3</t>
    </r>
  </si>
  <si>
    <r>
      <rPr>
        <sz val="11"/>
        <color rgb="FF1A1A1A"/>
        <rFont val="Calibri"/>
        <family val="2"/>
        <charset val="238"/>
        <scheme val="minor"/>
      </rPr>
      <t>KAVÁRNA</t>
    </r>
    <r>
      <rPr>
        <sz val="11"/>
        <color rgb="FF363636"/>
        <rFont val="Calibri"/>
        <family val="2"/>
        <charset val="238"/>
        <scheme val="minor"/>
      </rPr>
      <t>/</t>
    </r>
    <r>
      <rPr>
        <sz val="11"/>
        <color rgb="FF1A1A1A"/>
        <rFont val="Calibri"/>
        <family val="2"/>
        <charset val="238"/>
        <scheme val="minor"/>
      </rPr>
      <t>O</t>
    </r>
    <r>
      <rPr>
        <sz val="11"/>
        <rFont val="Calibri"/>
        <family val="2"/>
        <charset val="238"/>
        <scheme val="minor"/>
      </rPr>
      <t>B</t>
    </r>
    <r>
      <rPr>
        <sz val="11"/>
        <color rgb="FF1A1A1A"/>
        <rFont val="Calibri"/>
        <family val="2"/>
        <charset val="238"/>
        <scheme val="minor"/>
      </rPr>
      <t>C</t>
    </r>
    <r>
      <rPr>
        <sz val="11"/>
        <rFont val="Calibri"/>
        <family val="2"/>
        <charset val="238"/>
        <scheme val="minor"/>
      </rPr>
      <t>H</t>
    </r>
    <r>
      <rPr>
        <sz val="11"/>
        <color rgb="FF1A1A1A"/>
        <rFont val="Calibri"/>
        <family val="2"/>
        <charset val="238"/>
        <scheme val="minor"/>
      </rPr>
      <t>O</t>
    </r>
    <r>
      <rPr>
        <sz val="11"/>
        <rFont val="Calibri"/>
        <family val="2"/>
        <charset val="238"/>
        <scheme val="minor"/>
      </rPr>
      <t>D</t>
    </r>
  </si>
  <si>
    <r>
      <rPr>
        <sz val="11"/>
        <color rgb="FF363636"/>
        <rFont val="Calibri"/>
        <family val="2"/>
        <charset val="238"/>
        <scheme val="minor"/>
      </rPr>
      <t>P4</t>
    </r>
    <r>
      <rPr>
        <sz val="11"/>
        <rFont val="Calibri"/>
        <family val="2"/>
        <charset val="238"/>
        <scheme val="minor"/>
      </rPr>
      <t>, P5a</t>
    </r>
  </si>
  <si>
    <r>
      <t>J</t>
    </r>
    <r>
      <rPr>
        <sz val="11"/>
        <color rgb="FF1A1A1A"/>
        <rFont val="Calibri"/>
        <family val="2"/>
        <charset val="238"/>
        <scheme val="minor"/>
      </rPr>
      <t>ÍD</t>
    </r>
    <r>
      <rPr>
        <sz val="11"/>
        <rFont val="Calibri"/>
        <family val="2"/>
        <charset val="238"/>
        <scheme val="minor"/>
      </rPr>
      <t>EL</t>
    </r>
    <r>
      <rPr>
        <sz val="11"/>
        <color rgb="FF1A1A1A"/>
        <rFont val="Calibri"/>
        <family val="2"/>
        <charset val="238"/>
        <scheme val="minor"/>
      </rPr>
      <t>NA</t>
    </r>
  </si>
  <si>
    <r>
      <rPr>
        <sz val="11"/>
        <color rgb="FF4B4B4B"/>
        <rFont val="Calibri"/>
        <family val="2"/>
        <charset val="238"/>
        <scheme val="minor"/>
      </rPr>
      <t>T3</t>
    </r>
    <r>
      <rPr>
        <sz val="11"/>
        <rFont val="Calibri"/>
        <family val="2"/>
        <charset val="238"/>
        <scheme val="minor"/>
      </rPr>
      <t>, T6, T7</t>
    </r>
  </si>
  <si>
    <r>
      <rPr>
        <sz val="11"/>
        <color rgb="FF010101"/>
        <rFont val="Calibri"/>
        <family val="2"/>
        <charset val="238"/>
        <scheme val="minor"/>
      </rPr>
      <t>A</t>
    </r>
    <r>
      <rPr>
        <sz val="11"/>
        <color rgb="FF282828"/>
        <rFont val="Calibri"/>
        <family val="2"/>
        <charset val="238"/>
        <scheme val="minor"/>
      </rPr>
      <t>.</t>
    </r>
    <r>
      <rPr>
        <sz val="11"/>
        <color rgb="FF010101"/>
        <rFont val="Calibri"/>
        <family val="2"/>
        <charset val="238"/>
        <scheme val="minor"/>
      </rPr>
      <t>231</t>
    </r>
  </si>
  <si>
    <r>
      <rPr>
        <sz val="11"/>
        <color rgb="FF010101"/>
        <rFont val="Calibri"/>
        <family val="2"/>
        <charset val="238"/>
        <scheme val="minor"/>
      </rPr>
      <t>DVOULŮŽKOVÝ  POKOJ</t>
    </r>
  </si>
  <si>
    <r>
      <rPr>
        <sz val="11"/>
        <color rgb="FF010101"/>
        <rFont val="Calibri"/>
        <family val="2"/>
        <charset val="238"/>
        <scheme val="minor"/>
      </rPr>
      <t>P15</t>
    </r>
    <r>
      <rPr>
        <sz val="11"/>
        <color rgb="FF282828"/>
        <rFont val="Calibri"/>
        <family val="2"/>
        <charset val="238"/>
        <scheme val="minor"/>
      </rPr>
      <t xml:space="preserve">, </t>
    </r>
    <r>
      <rPr>
        <sz val="11"/>
        <color rgb="FF010101"/>
        <rFont val="Calibri"/>
        <family val="2"/>
        <charset val="238"/>
        <scheme val="minor"/>
      </rPr>
      <t>P16</t>
    </r>
    <r>
      <rPr>
        <sz val="11"/>
        <rFont val="Calibri"/>
        <family val="2"/>
        <charset val="238"/>
        <scheme val="minor"/>
      </rPr>
      <t>a</t>
    </r>
  </si>
  <si>
    <r>
      <rPr>
        <sz val="11"/>
        <color rgb="FF111111"/>
        <rFont val="Calibri"/>
        <family val="2"/>
        <charset val="238"/>
        <scheme val="minor"/>
      </rPr>
      <t>T3</t>
    </r>
    <r>
      <rPr>
        <sz val="11"/>
        <color rgb="FF424242"/>
        <rFont val="Calibri"/>
        <family val="2"/>
        <charset val="238"/>
        <scheme val="minor"/>
      </rPr>
      <t xml:space="preserve">, </t>
    </r>
    <r>
      <rPr>
        <sz val="11"/>
        <color rgb="FF010101"/>
        <rFont val="Calibri"/>
        <family val="2"/>
        <charset val="238"/>
        <scheme val="minor"/>
      </rPr>
      <t>T4</t>
    </r>
  </si>
  <si>
    <r>
      <rPr>
        <sz val="11"/>
        <color rgb="FF010101"/>
        <rFont val="Calibri"/>
        <family val="2"/>
        <charset val="238"/>
        <scheme val="minor"/>
      </rPr>
      <t>A.232</t>
    </r>
  </si>
  <si>
    <r>
      <rPr>
        <sz val="11"/>
        <color rgb="FF010101"/>
        <rFont val="Calibri"/>
        <family val="2"/>
        <charset val="238"/>
        <scheme val="minor"/>
      </rPr>
      <t>2400</t>
    </r>
    <r>
      <rPr>
        <sz val="11"/>
        <color rgb="FF282828"/>
        <rFont val="Calibri"/>
        <family val="2"/>
        <charset val="238"/>
        <scheme val="minor"/>
      </rPr>
      <t xml:space="preserve">, </t>
    </r>
    <r>
      <rPr>
        <sz val="11"/>
        <color rgb="FF010101"/>
        <rFont val="Calibri"/>
        <family val="2"/>
        <charset val="238"/>
        <scheme val="minor"/>
      </rPr>
      <t>2670</t>
    </r>
  </si>
  <si>
    <r>
      <rPr>
        <sz val="11"/>
        <color rgb="FF111111"/>
        <rFont val="Calibri"/>
        <family val="2"/>
        <charset val="238"/>
        <scheme val="minor"/>
      </rPr>
      <t xml:space="preserve">T3, </t>
    </r>
    <r>
      <rPr>
        <sz val="11"/>
        <color rgb="FF010101"/>
        <rFont val="Calibri"/>
        <family val="2"/>
        <charset val="238"/>
        <scheme val="minor"/>
      </rPr>
      <t>T4</t>
    </r>
  </si>
  <si>
    <r>
      <rPr>
        <sz val="11"/>
        <color rgb="FF010101"/>
        <rFont val="Calibri"/>
        <family val="2"/>
        <charset val="238"/>
        <scheme val="minor"/>
      </rPr>
      <t>A</t>
    </r>
    <r>
      <rPr>
        <sz val="11"/>
        <color rgb="FF282828"/>
        <rFont val="Calibri"/>
        <family val="2"/>
        <charset val="238"/>
        <scheme val="minor"/>
      </rPr>
      <t>.</t>
    </r>
    <r>
      <rPr>
        <sz val="11"/>
        <color rgb="FF010101"/>
        <rFont val="Calibri"/>
        <family val="2"/>
        <charset val="238"/>
        <scheme val="minor"/>
      </rPr>
      <t>233</t>
    </r>
  </si>
  <si>
    <r>
      <rPr>
        <sz val="11"/>
        <color rgb="FF010101"/>
        <rFont val="Calibri"/>
        <family val="2"/>
        <charset val="238"/>
        <scheme val="minor"/>
      </rPr>
      <t>A.234</t>
    </r>
  </si>
  <si>
    <r>
      <rPr>
        <sz val="11"/>
        <color rgb="FF010101"/>
        <rFont val="Calibri"/>
        <family val="2"/>
        <charset val="238"/>
        <scheme val="minor"/>
      </rPr>
      <t>T3, T4</t>
    </r>
  </si>
  <si>
    <r>
      <rPr>
        <sz val="11"/>
        <color rgb="FF010101"/>
        <rFont val="Calibri"/>
        <family val="2"/>
        <charset val="238"/>
        <scheme val="minor"/>
      </rPr>
      <t>A.235</t>
    </r>
  </si>
  <si>
    <r>
      <rPr>
        <sz val="11"/>
        <color rgb="FF010101"/>
        <rFont val="Calibri"/>
        <family val="2"/>
        <charset val="238"/>
        <scheme val="minor"/>
      </rPr>
      <t>A.236</t>
    </r>
  </si>
  <si>
    <r>
      <rPr>
        <sz val="11"/>
        <color rgb="FF010101"/>
        <rFont val="Calibri"/>
        <family val="2"/>
        <charset val="238"/>
        <scheme val="minor"/>
      </rPr>
      <t>T3</t>
    </r>
    <r>
      <rPr>
        <sz val="11"/>
        <color rgb="FF282828"/>
        <rFont val="Calibri"/>
        <family val="2"/>
        <charset val="238"/>
        <scheme val="minor"/>
      </rPr>
      <t xml:space="preserve">, </t>
    </r>
    <r>
      <rPr>
        <sz val="11"/>
        <color rgb="FF010101"/>
        <rFont val="Calibri"/>
        <family val="2"/>
        <charset val="238"/>
        <scheme val="minor"/>
      </rPr>
      <t>T4</t>
    </r>
  </si>
  <si>
    <r>
      <rPr>
        <sz val="11"/>
        <color rgb="FF010101"/>
        <rFont val="Calibri"/>
        <family val="2"/>
        <charset val="238"/>
        <scheme val="minor"/>
      </rPr>
      <t>A</t>
    </r>
    <r>
      <rPr>
        <sz val="11"/>
        <color rgb="FF282828"/>
        <rFont val="Calibri"/>
        <family val="2"/>
        <charset val="238"/>
        <scheme val="minor"/>
      </rPr>
      <t>.</t>
    </r>
    <r>
      <rPr>
        <sz val="11"/>
        <color rgb="FF010101"/>
        <rFont val="Calibri"/>
        <family val="2"/>
        <charset val="238"/>
        <scheme val="minor"/>
      </rPr>
      <t>237</t>
    </r>
  </si>
  <si>
    <r>
      <rPr>
        <sz val="11"/>
        <color rgb="FF010101"/>
        <rFont val="Calibri"/>
        <family val="2"/>
        <charset val="238"/>
        <scheme val="minor"/>
      </rPr>
      <t>A</t>
    </r>
    <r>
      <rPr>
        <sz val="11"/>
        <color rgb="FF282828"/>
        <rFont val="Calibri"/>
        <family val="2"/>
        <charset val="238"/>
        <scheme val="minor"/>
      </rPr>
      <t>.</t>
    </r>
    <r>
      <rPr>
        <sz val="11"/>
        <color rgb="FF010101"/>
        <rFont val="Calibri"/>
        <family val="2"/>
        <charset val="238"/>
        <scheme val="minor"/>
      </rPr>
      <t>238</t>
    </r>
  </si>
  <si>
    <r>
      <rPr>
        <sz val="11"/>
        <color rgb="FF010101"/>
        <rFont val="Calibri"/>
        <family val="2"/>
        <charset val="238"/>
        <scheme val="minor"/>
      </rPr>
      <t>A.239</t>
    </r>
  </si>
  <si>
    <r>
      <rPr>
        <sz val="11"/>
        <color rgb="FF010101"/>
        <rFont val="Calibri"/>
        <family val="2"/>
        <charset val="238"/>
        <scheme val="minor"/>
      </rPr>
      <t>P15, P16</t>
    </r>
    <r>
      <rPr>
        <sz val="11"/>
        <rFont val="Calibri"/>
        <family val="2"/>
        <charset val="238"/>
        <scheme val="minor"/>
      </rPr>
      <t>a</t>
    </r>
  </si>
  <si>
    <r>
      <rPr>
        <sz val="11"/>
        <color rgb="FF010101"/>
        <rFont val="Calibri"/>
        <family val="2"/>
        <charset val="238"/>
        <scheme val="minor"/>
      </rPr>
      <t>B</t>
    </r>
    <r>
      <rPr>
        <sz val="11"/>
        <color rgb="FF424242"/>
        <rFont val="Calibri"/>
        <family val="2"/>
        <charset val="238"/>
        <scheme val="minor"/>
      </rPr>
      <t>.</t>
    </r>
    <r>
      <rPr>
        <sz val="11"/>
        <color rgb="FF010101"/>
        <rFont val="Calibri"/>
        <family val="2"/>
        <charset val="238"/>
        <scheme val="minor"/>
      </rPr>
      <t>231</t>
    </r>
  </si>
  <si>
    <r>
      <rPr>
        <sz val="11"/>
        <color rgb="FF010101"/>
        <rFont val="Calibri"/>
        <family val="2"/>
        <charset val="238"/>
        <scheme val="minor"/>
      </rPr>
      <t>P15</t>
    </r>
    <r>
      <rPr>
        <sz val="11"/>
        <color rgb="FF424242"/>
        <rFont val="Calibri"/>
        <family val="2"/>
        <charset val="238"/>
        <scheme val="minor"/>
      </rPr>
      <t xml:space="preserve">, </t>
    </r>
    <r>
      <rPr>
        <sz val="11"/>
        <color rgb="FF010101"/>
        <rFont val="Calibri"/>
        <family val="2"/>
        <charset val="238"/>
        <scheme val="minor"/>
      </rPr>
      <t>P16</t>
    </r>
    <r>
      <rPr>
        <sz val="11"/>
        <rFont val="Calibri"/>
        <family val="2"/>
        <charset val="238"/>
        <scheme val="minor"/>
      </rPr>
      <t>a</t>
    </r>
  </si>
  <si>
    <r>
      <rPr>
        <sz val="11"/>
        <color rgb="FF010101"/>
        <rFont val="Calibri"/>
        <family val="2"/>
        <charset val="238"/>
        <scheme val="minor"/>
      </rPr>
      <t>B</t>
    </r>
    <r>
      <rPr>
        <sz val="11"/>
        <color rgb="FF525252"/>
        <rFont val="Calibri"/>
        <family val="2"/>
        <charset val="238"/>
        <scheme val="minor"/>
      </rPr>
      <t>.</t>
    </r>
    <r>
      <rPr>
        <sz val="11"/>
        <color rgb="FF010101"/>
        <rFont val="Calibri"/>
        <family val="2"/>
        <charset val="238"/>
        <scheme val="minor"/>
      </rPr>
      <t>232</t>
    </r>
  </si>
  <si>
    <r>
      <rPr>
        <sz val="11"/>
        <color rgb="FF010101"/>
        <rFont val="Calibri"/>
        <family val="2"/>
        <charset val="238"/>
        <scheme val="minor"/>
      </rPr>
      <t>B</t>
    </r>
    <r>
      <rPr>
        <sz val="11"/>
        <color rgb="FF424242"/>
        <rFont val="Calibri"/>
        <family val="2"/>
        <charset val="238"/>
        <scheme val="minor"/>
      </rPr>
      <t>.</t>
    </r>
    <r>
      <rPr>
        <sz val="11"/>
        <color rgb="FF010101"/>
        <rFont val="Calibri"/>
        <family val="2"/>
        <charset val="238"/>
        <scheme val="minor"/>
      </rPr>
      <t>233</t>
    </r>
  </si>
  <si>
    <r>
      <rPr>
        <sz val="11"/>
        <color rgb="FF111111"/>
        <rFont val="Calibri"/>
        <family val="2"/>
        <charset val="238"/>
        <scheme val="minor"/>
      </rPr>
      <t>T3</t>
    </r>
    <r>
      <rPr>
        <sz val="11"/>
        <color rgb="FF2A2A2A"/>
        <rFont val="Calibri"/>
        <family val="2"/>
        <charset val="238"/>
        <scheme val="minor"/>
      </rPr>
      <t xml:space="preserve">, </t>
    </r>
    <r>
      <rPr>
        <sz val="11"/>
        <color rgb="FF010101"/>
        <rFont val="Calibri"/>
        <family val="2"/>
        <charset val="238"/>
        <scheme val="minor"/>
      </rPr>
      <t>T4</t>
    </r>
  </si>
  <si>
    <r>
      <rPr>
        <sz val="11"/>
        <color rgb="FF010101"/>
        <rFont val="Calibri"/>
        <family val="2"/>
        <charset val="238"/>
        <scheme val="minor"/>
      </rPr>
      <t>B</t>
    </r>
    <r>
      <rPr>
        <sz val="11"/>
        <color rgb="FF424242"/>
        <rFont val="Calibri"/>
        <family val="2"/>
        <charset val="238"/>
        <scheme val="minor"/>
      </rPr>
      <t>.</t>
    </r>
    <r>
      <rPr>
        <sz val="11"/>
        <color rgb="FF010101"/>
        <rFont val="Calibri"/>
        <family val="2"/>
        <charset val="238"/>
        <scheme val="minor"/>
      </rPr>
      <t>234</t>
    </r>
  </si>
  <si>
    <r>
      <rPr>
        <sz val="11"/>
        <color rgb="FF010101"/>
        <rFont val="Calibri"/>
        <family val="2"/>
        <charset val="238"/>
        <scheme val="minor"/>
      </rPr>
      <t>T3</t>
    </r>
    <r>
      <rPr>
        <sz val="11"/>
        <color rgb="FF424242"/>
        <rFont val="Calibri"/>
        <family val="2"/>
        <charset val="238"/>
        <scheme val="minor"/>
      </rPr>
      <t xml:space="preserve">, </t>
    </r>
    <r>
      <rPr>
        <sz val="11"/>
        <color rgb="FF010101"/>
        <rFont val="Calibri"/>
        <family val="2"/>
        <charset val="238"/>
        <scheme val="minor"/>
      </rPr>
      <t>T4</t>
    </r>
  </si>
  <si>
    <r>
      <rPr>
        <sz val="11"/>
        <color rgb="FF010101"/>
        <rFont val="Calibri"/>
        <family val="2"/>
        <charset val="238"/>
        <scheme val="minor"/>
      </rPr>
      <t>B</t>
    </r>
    <r>
      <rPr>
        <sz val="11"/>
        <color rgb="FF424242"/>
        <rFont val="Calibri"/>
        <family val="2"/>
        <charset val="238"/>
        <scheme val="minor"/>
      </rPr>
      <t>.</t>
    </r>
    <r>
      <rPr>
        <sz val="11"/>
        <color rgb="FF010101"/>
        <rFont val="Calibri"/>
        <family val="2"/>
        <charset val="238"/>
        <scheme val="minor"/>
      </rPr>
      <t>235</t>
    </r>
  </si>
  <si>
    <r>
      <rPr>
        <sz val="11"/>
        <color rgb="FF010101"/>
        <rFont val="Calibri"/>
        <family val="2"/>
        <charset val="238"/>
        <scheme val="minor"/>
      </rPr>
      <t>B</t>
    </r>
    <r>
      <rPr>
        <sz val="11"/>
        <color rgb="FF525252"/>
        <rFont val="Calibri"/>
        <family val="2"/>
        <charset val="238"/>
        <scheme val="minor"/>
      </rPr>
      <t>.</t>
    </r>
    <r>
      <rPr>
        <sz val="11"/>
        <color rgb="FF010101"/>
        <rFont val="Calibri"/>
        <family val="2"/>
        <charset val="238"/>
        <scheme val="minor"/>
      </rPr>
      <t>236</t>
    </r>
  </si>
  <si>
    <r>
      <rPr>
        <sz val="11"/>
        <color rgb="FF010101"/>
        <rFont val="Calibri"/>
        <family val="2"/>
        <charset val="238"/>
        <scheme val="minor"/>
      </rPr>
      <t>B</t>
    </r>
    <r>
      <rPr>
        <sz val="11"/>
        <color rgb="FF424242"/>
        <rFont val="Calibri"/>
        <family val="2"/>
        <charset val="238"/>
        <scheme val="minor"/>
      </rPr>
      <t>.</t>
    </r>
    <r>
      <rPr>
        <sz val="11"/>
        <color rgb="FF010101"/>
        <rFont val="Calibri"/>
        <family val="2"/>
        <charset val="238"/>
        <scheme val="minor"/>
      </rPr>
      <t>237</t>
    </r>
  </si>
  <si>
    <r>
      <rPr>
        <sz val="11"/>
        <color rgb="FF010101"/>
        <rFont val="Calibri"/>
        <family val="2"/>
        <charset val="238"/>
        <scheme val="minor"/>
      </rPr>
      <t>B</t>
    </r>
    <r>
      <rPr>
        <sz val="11"/>
        <color rgb="FF525252"/>
        <rFont val="Calibri"/>
        <family val="2"/>
        <charset val="238"/>
        <scheme val="minor"/>
      </rPr>
      <t>.</t>
    </r>
    <r>
      <rPr>
        <sz val="11"/>
        <color rgb="FF010101"/>
        <rFont val="Calibri"/>
        <family val="2"/>
        <charset val="238"/>
        <scheme val="minor"/>
      </rPr>
      <t>238</t>
    </r>
  </si>
  <si>
    <r>
      <rPr>
        <sz val="11"/>
        <color rgb="FF010101"/>
        <rFont val="Calibri"/>
        <family val="2"/>
        <charset val="238"/>
        <scheme val="minor"/>
      </rPr>
      <t>B.239</t>
    </r>
  </si>
  <si>
    <r>
      <rPr>
        <sz val="11"/>
        <color rgb="FF030303"/>
        <rFont val="Calibri"/>
        <family val="2"/>
        <charset val="238"/>
        <scheme val="minor"/>
      </rPr>
      <t>C</t>
    </r>
    <r>
      <rPr>
        <sz val="11"/>
        <color rgb="FF2A2A2A"/>
        <rFont val="Calibri"/>
        <family val="2"/>
        <charset val="238"/>
        <scheme val="minor"/>
      </rPr>
      <t>.</t>
    </r>
    <r>
      <rPr>
        <sz val="11"/>
        <color rgb="FF030303"/>
        <rFont val="Calibri"/>
        <family val="2"/>
        <charset val="238"/>
        <scheme val="minor"/>
      </rPr>
      <t>234</t>
    </r>
  </si>
  <si>
    <r>
      <rPr>
        <sz val="11"/>
        <color rgb="FF030303"/>
        <rFont val="Calibri"/>
        <family val="2"/>
        <charset val="238"/>
        <scheme val="minor"/>
      </rPr>
      <t>DVOULŮŽKOVÝ  POKOJ</t>
    </r>
  </si>
  <si>
    <r>
      <rPr>
        <sz val="11"/>
        <color rgb="FF030303"/>
        <rFont val="Calibri"/>
        <family val="2"/>
        <charset val="238"/>
        <scheme val="minor"/>
      </rPr>
      <t>P18</t>
    </r>
    <r>
      <rPr>
        <sz val="11"/>
        <color rgb="FF1C1C1C"/>
        <rFont val="Calibri"/>
        <family val="2"/>
        <charset val="238"/>
        <scheme val="minor"/>
      </rPr>
      <t xml:space="preserve">, </t>
    </r>
    <r>
      <rPr>
        <sz val="11"/>
        <color rgb="FF030303"/>
        <rFont val="Calibri"/>
        <family val="2"/>
        <charset val="238"/>
        <scheme val="minor"/>
      </rPr>
      <t>P19</t>
    </r>
    <r>
      <rPr>
        <sz val="11"/>
        <rFont val="Calibri"/>
        <family val="2"/>
        <charset val="238"/>
        <scheme val="minor"/>
      </rPr>
      <t>a</t>
    </r>
  </si>
  <si>
    <r>
      <rPr>
        <sz val="11"/>
        <color rgb="FF030303"/>
        <rFont val="Calibri"/>
        <family val="2"/>
        <charset val="238"/>
        <scheme val="minor"/>
      </rPr>
      <t>C.235</t>
    </r>
  </si>
  <si>
    <r>
      <rPr>
        <sz val="11"/>
        <color rgb="FF030303"/>
        <rFont val="Calibri"/>
        <family val="2"/>
        <charset val="238"/>
        <scheme val="minor"/>
      </rPr>
      <t>P15</t>
    </r>
    <r>
      <rPr>
        <sz val="11"/>
        <color rgb="FF565656"/>
        <rFont val="Calibri"/>
        <family val="2"/>
        <charset val="238"/>
        <scheme val="minor"/>
      </rPr>
      <t xml:space="preserve">, </t>
    </r>
    <r>
      <rPr>
        <sz val="11"/>
        <color rgb="FF030303"/>
        <rFont val="Calibri"/>
        <family val="2"/>
        <charset val="238"/>
        <scheme val="minor"/>
      </rPr>
      <t xml:space="preserve">P16a </t>
    </r>
    <r>
      <rPr>
        <sz val="11"/>
        <color rgb="FF484848"/>
        <rFont val="Calibri"/>
        <family val="2"/>
        <charset val="238"/>
        <scheme val="minor"/>
      </rPr>
      <t xml:space="preserve">, </t>
    </r>
    <r>
      <rPr>
        <sz val="11"/>
        <color rgb="FF030303"/>
        <rFont val="Calibri"/>
        <family val="2"/>
        <charset val="238"/>
        <scheme val="minor"/>
      </rPr>
      <t>P18</t>
    </r>
  </si>
  <si>
    <r>
      <rPr>
        <sz val="11"/>
        <color rgb="FF030303"/>
        <rFont val="Calibri"/>
        <family val="2"/>
        <charset val="238"/>
        <scheme val="minor"/>
      </rPr>
      <t>T3</t>
    </r>
    <r>
      <rPr>
        <sz val="11"/>
        <color rgb="FF2A2A2A"/>
        <rFont val="Calibri"/>
        <family val="2"/>
        <charset val="238"/>
        <scheme val="minor"/>
      </rPr>
      <t xml:space="preserve">, </t>
    </r>
    <r>
      <rPr>
        <sz val="11"/>
        <color rgb="FF030303"/>
        <rFont val="Calibri"/>
        <family val="2"/>
        <charset val="238"/>
        <scheme val="minor"/>
      </rPr>
      <t>T4</t>
    </r>
  </si>
  <si>
    <r>
      <rPr>
        <sz val="11"/>
        <color rgb="FF030303"/>
        <rFont val="Calibri"/>
        <family val="2"/>
        <charset val="238"/>
        <scheme val="minor"/>
      </rPr>
      <t>C</t>
    </r>
    <r>
      <rPr>
        <sz val="11"/>
        <color rgb="FF2A2A2A"/>
        <rFont val="Calibri"/>
        <family val="2"/>
        <charset val="238"/>
        <scheme val="minor"/>
      </rPr>
      <t>.</t>
    </r>
    <r>
      <rPr>
        <sz val="11"/>
        <color rgb="FF030303"/>
        <rFont val="Calibri"/>
        <family val="2"/>
        <charset val="238"/>
        <scheme val="minor"/>
      </rPr>
      <t>236</t>
    </r>
  </si>
  <si>
    <r>
      <rPr>
        <sz val="11"/>
        <color rgb="FF030303"/>
        <rFont val="Calibri"/>
        <family val="2"/>
        <charset val="238"/>
        <scheme val="minor"/>
      </rPr>
      <t>2400, 2670</t>
    </r>
  </si>
  <si>
    <r>
      <rPr>
        <sz val="11"/>
        <color rgb="FF030303"/>
        <rFont val="Calibri"/>
        <family val="2"/>
        <charset val="238"/>
        <scheme val="minor"/>
      </rPr>
      <t>C.237</t>
    </r>
  </si>
  <si>
    <r>
      <rPr>
        <sz val="11"/>
        <color rgb="FF030303"/>
        <rFont val="Calibri"/>
        <family val="2"/>
        <charset val="238"/>
        <scheme val="minor"/>
      </rPr>
      <t>C.238</t>
    </r>
  </si>
  <si>
    <r>
      <rPr>
        <sz val="11"/>
        <color rgb="FF030303"/>
        <rFont val="Calibri"/>
        <family val="2"/>
        <charset val="238"/>
        <scheme val="minor"/>
      </rPr>
      <t>C.239</t>
    </r>
  </si>
  <si>
    <r>
      <rPr>
        <sz val="11"/>
        <color rgb="FF030303"/>
        <rFont val="Calibri"/>
        <family val="2"/>
        <charset val="238"/>
        <scheme val="minor"/>
      </rPr>
      <t>P15</t>
    </r>
    <r>
      <rPr>
        <sz val="11"/>
        <color rgb="FF1C1C1C"/>
        <rFont val="Calibri"/>
        <family val="2"/>
        <charset val="238"/>
        <scheme val="minor"/>
      </rPr>
      <t xml:space="preserve">, </t>
    </r>
    <r>
      <rPr>
        <sz val="11"/>
        <color rgb="FF030303"/>
        <rFont val="Calibri"/>
        <family val="2"/>
        <charset val="238"/>
        <scheme val="minor"/>
      </rPr>
      <t>P16a</t>
    </r>
    <r>
      <rPr>
        <sz val="11"/>
        <color rgb="FF1C1C1C"/>
        <rFont val="Calibri"/>
        <family val="2"/>
        <charset val="238"/>
        <scheme val="minor"/>
      </rPr>
      <t xml:space="preserve">, </t>
    </r>
    <r>
      <rPr>
        <sz val="11"/>
        <color rgb="FF030303"/>
        <rFont val="Calibri"/>
        <family val="2"/>
        <charset val="238"/>
        <scheme val="minor"/>
      </rPr>
      <t>P18</t>
    </r>
    <r>
      <rPr>
        <sz val="11"/>
        <color rgb="FF565656"/>
        <rFont val="Calibri"/>
        <family val="2"/>
        <charset val="238"/>
        <scheme val="minor"/>
      </rPr>
      <t xml:space="preserve">, </t>
    </r>
    <r>
      <rPr>
        <sz val="11"/>
        <color rgb="FF030303"/>
        <rFont val="Calibri"/>
        <family val="2"/>
        <charset val="238"/>
        <scheme val="minor"/>
      </rPr>
      <t>P19a</t>
    </r>
  </si>
  <si>
    <r>
      <rPr>
        <sz val="11"/>
        <color rgb="FF030303"/>
        <rFont val="Calibri"/>
        <family val="2"/>
        <charset val="238"/>
        <scheme val="minor"/>
      </rPr>
      <t>A.332</t>
    </r>
  </si>
  <si>
    <r>
      <rPr>
        <sz val="11"/>
        <color rgb="FF030303"/>
        <rFont val="Calibri"/>
        <family val="2"/>
        <charset val="238"/>
        <scheme val="minor"/>
      </rPr>
      <t>P15</t>
    </r>
    <r>
      <rPr>
        <sz val="11"/>
        <color rgb="FF2B2B2B"/>
        <rFont val="Calibri"/>
        <family val="2"/>
        <charset val="238"/>
        <scheme val="minor"/>
      </rPr>
      <t xml:space="preserve">, </t>
    </r>
    <r>
      <rPr>
        <sz val="11"/>
        <color rgb="FF030303"/>
        <rFont val="Calibri"/>
        <family val="2"/>
        <charset val="238"/>
        <scheme val="minor"/>
      </rPr>
      <t>P16</t>
    </r>
    <r>
      <rPr>
        <sz val="11"/>
        <rFont val="Calibri"/>
        <family val="2"/>
        <charset val="238"/>
        <scheme val="minor"/>
      </rPr>
      <t>a</t>
    </r>
  </si>
  <si>
    <r>
      <rPr>
        <sz val="11"/>
        <color rgb="FF030303"/>
        <rFont val="Calibri"/>
        <family val="2"/>
        <charset val="238"/>
        <scheme val="minor"/>
      </rPr>
      <t>A</t>
    </r>
    <r>
      <rPr>
        <sz val="11"/>
        <color rgb="FF2B2B2B"/>
        <rFont val="Calibri"/>
        <family val="2"/>
        <charset val="238"/>
        <scheme val="minor"/>
      </rPr>
      <t>.</t>
    </r>
    <r>
      <rPr>
        <sz val="11"/>
        <color rgb="FF030303"/>
        <rFont val="Calibri"/>
        <family val="2"/>
        <charset val="238"/>
        <scheme val="minor"/>
      </rPr>
      <t>333</t>
    </r>
  </si>
  <si>
    <r>
      <rPr>
        <sz val="11"/>
        <color rgb="FF030303"/>
        <rFont val="Calibri"/>
        <family val="2"/>
        <charset val="238"/>
        <scheme val="minor"/>
      </rPr>
      <t>T3</t>
    </r>
    <r>
      <rPr>
        <sz val="11"/>
        <color rgb="FF1C1C1C"/>
        <rFont val="Calibri"/>
        <family val="2"/>
        <charset val="238"/>
        <scheme val="minor"/>
      </rPr>
      <t xml:space="preserve">, </t>
    </r>
    <r>
      <rPr>
        <sz val="11"/>
        <color rgb="FF030303"/>
        <rFont val="Calibri"/>
        <family val="2"/>
        <charset val="238"/>
        <scheme val="minor"/>
      </rPr>
      <t>T4</t>
    </r>
  </si>
  <si>
    <r>
      <rPr>
        <sz val="11"/>
        <color rgb="FF030303"/>
        <rFont val="Calibri"/>
        <family val="2"/>
        <charset val="238"/>
        <scheme val="minor"/>
      </rPr>
      <t>A.334</t>
    </r>
  </si>
  <si>
    <r>
      <rPr>
        <sz val="11"/>
        <color rgb="FF030303"/>
        <rFont val="Calibri"/>
        <family val="2"/>
        <charset val="238"/>
        <scheme val="minor"/>
      </rPr>
      <t>T3</t>
    </r>
    <r>
      <rPr>
        <sz val="11"/>
        <color rgb="FF424242"/>
        <rFont val="Calibri"/>
        <family val="2"/>
        <charset val="238"/>
        <scheme val="minor"/>
      </rPr>
      <t xml:space="preserve">, </t>
    </r>
    <r>
      <rPr>
        <sz val="11"/>
        <color rgb="FF030303"/>
        <rFont val="Calibri"/>
        <family val="2"/>
        <charset val="238"/>
        <scheme val="minor"/>
      </rPr>
      <t>T4</t>
    </r>
  </si>
  <si>
    <r>
      <rPr>
        <sz val="11"/>
        <color rgb="FF030303"/>
        <rFont val="Calibri"/>
        <family val="2"/>
        <charset val="238"/>
        <scheme val="minor"/>
      </rPr>
      <t>A</t>
    </r>
    <r>
      <rPr>
        <sz val="11"/>
        <color rgb="FF2B2B2B"/>
        <rFont val="Calibri"/>
        <family val="2"/>
        <charset val="238"/>
        <scheme val="minor"/>
      </rPr>
      <t>.</t>
    </r>
    <r>
      <rPr>
        <sz val="11"/>
        <color rgb="FF030303"/>
        <rFont val="Calibri"/>
        <family val="2"/>
        <charset val="238"/>
        <scheme val="minor"/>
      </rPr>
      <t>335</t>
    </r>
  </si>
  <si>
    <r>
      <rPr>
        <sz val="11"/>
        <color rgb="FF030303"/>
        <rFont val="Calibri"/>
        <family val="2"/>
        <charset val="238"/>
        <scheme val="minor"/>
      </rPr>
      <t>A.336</t>
    </r>
  </si>
  <si>
    <r>
      <rPr>
        <sz val="11"/>
        <color rgb="FF030303"/>
        <rFont val="Calibri"/>
        <family val="2"/>
        <charset val="238"/>
        <scheme val="minor"/>
      </rPr>
      <t>T</t>
    </r>
    <r>
      <rPr>
        <sz val="11"/>
        <color rgb="FF1C1C1C"/>
        <rFont val="Calibri"/>
        <family val="2"/>
        <charset val="238"/>
        <scheme val="minor"/>
      </rPr>
      <t xml:space="preserve">3, </t>
    </r>
    <r>
      <rPr>
        <sz val="11"/>
        <color rgb="FF030303"/>
        <rFont val="Calibri"/>
        <family val="2"/>
        <charset val="238"/>
        <scheme val="minor"/>
      </rPr>
      <t>T4</t>
    </r>
  </si>
  <si>
    <r>
      <rPr>
        <sz val="11"/>
        <color rgb="FF030303"/>
        <rFont val="Calibri"/>
        <family val="2"/>
        <charset val="238"/>
        <scheme val="minor"/>
      </rPr>
      <t>A</t>
    </r>
    <r>
      <rPr>
        <sz val="11"/>
        <color rgb="FF2B2B2B"/>
        <rFont val="Calibri"/>
        <family val="2"/>
        <charset val="238"/>
        <scheme val="minor"/>
      </rPr>
      <t>.</t>
    </r>
    <r>
      <rPr>
        <sz val="11"/>
        <color rgb="FF030303"/>
        <rFont val="Calibri"/>
        <family val="2"/>
        <charset val="238"/>
        <scheme val="minor"/>
      </rPr>
      <t>337</t>
    </r>
  </si>
  <si>
    <r>
      <rPr>
        <sz val="11"/>
        <color rgb="FF030303"/>
        <rFont val="Calibri"/>
        <family val="2"/>
        <charset val="238"/>
        <scheme val="minor"/>
      </rPr>
      <t>A.338</t>
    </r>
  </si>
  <si>
    <r>
      <rPr>
        <sz val="11"/>
        <color rgb="FF030303"/>
        <rFont val="Calibri"/>
        <family val="2"/>
        <charset val="238"/>
        <scheme val="minor"/>
      </rPr>
      <t>A.339</t>
    </r>
  </si>
  <si>
    <r>
      <rPr>
        <sz val="11"/>
        <color rgb="FF010101"/>
        <rFont val="Calibri"/>
        <family val="2"/>
        <charset val="238"/>
        <scheme val="minor"/>
      </rPr>
      <t>B</t>
    </r>
    <r>
      <rPr>
        <sz val="11"/>
        <color rgb="FF2B2B2B"/>
        <rFont val="Calibri"/>
        <family val="2"/>
        <charset val="238"/>
        <scheme val="minor"/>
      </rPr>
      <t>.</t>
    </r>
    <r>
      <rPr>
        <sz val="11"/>
        <color rgb="FF010101"/>
        <rFont val="Calibri"/>
        <family val="2"/>
        <charset val="238"/>
        <scheme val="minor"/>
      </rPr>
      <t>331</t>
    </r>
  </si>
  <si>
    <r>
      <rPr>
        <sz val="11"/>
        <color rgb="FF010101"/>
        <rFont val="Calibri"/>
        <family val="2"/>
        <charset val="238"/>
        <scheme val="minor"/>
      </rPr>
      <t>P15</t>
    </r>
    <r>
      <rPr>
        <sz val="11"/>
        <color rgb="FF2B2B2B"/>
        <rFont val="Calibri"/>
        <family val="2"/>
        <charset val="238"/>
        <scheme val="minor"/>
      </rPr>
      <t xml:space="preserve">, </t>
    </r>
    <r>
      <rPr>
        <sz val="11"/>
        <color rgb="FF010101"/>
        <rFont val="Calibri"/>
        <family val="2"/>
        <charset val="238"/>
        <scheme val="minor"/>
      </rPr>
      <t>P16</t>
    </r>
    <r>
      <rPr>
        <sz val="11"/>
        <rFont val="Calibri"/>
        <family val="2"/>
        <charset val="238"/>
        <scheme val="minor"/>
      </rPr>
      <t>a</t>
    </r>
  </si>
  <si>
    <r>
      <rPr>
        <sz val="11"/>
        <color rgb="FF131313"/>
        <rFont val="Calibri"/>
        <family val="2"/>
        <charset val="238"/>
        <scheme val="minor"/>
      </rPr>
      <t>T3</t>
    </r>
    <r>
      <rPr>
        <sz val="11"/>
        <color rgb="FF444444"/>
        <rFont val="Calibri"/>
        <family val="2"/>
        <charset val="238"/>
        <scheme val="minor"/>
      </rPr>
      <t xml:space="preserve">, </t>
    </r>
    <r>
      <rPr>
        <sz val="11"/>
        <color rgb="FF010101"/>
        <rFont val="Calibri"/>
        <family val="2"/>
        <charset val="238"/>
        <scheme val="minor"/>
      </rPr>
      <t>T4</t>
    </r>
  </si>
  <si>
    <r>
      <rPr>
        <sz val="11"/>
        <color rgb="FF010101"/>
        <rFont val="Calibri"/>
        <family val="2"/>
        <charset val="238"/>
        <scheme val="minor"/>
      </rPr>
      <t>B.332</t>
    </r>
  </si>
  <si>
    <r>
      <rPr>
        <sz val="11"/>
        <color rgb="FF010101"/>
        <rFont val="Calibri"/>
        <family val="2"/>
        <charset val="238"/>
        <scheme val="minor"/>
      </rPr>
      <t>2400</t>
    </r>
    <r>
      <rPr>
        <sz val="11"/>
        <color rgb="FF2B2B2B"/>
        <rFont val="Calibri"/>
        <family val="2"/>
        <charset val="238"/>
        <scheme val="minor"/>
      </rPr>
      <t xml:space="preserve">, </t>
    </r>
    <r>
      <rPr>
        <sz val="11"/>
        <color rgb="FF010101"/>
        <rFont val="Calibri"/>
        <family val="2"/>
        <charset val="238"/>
        <scheme val="minor"/>
      </rPr>
      <t>2670</t>
    </r>
  </si>
  <si>
    <r>
      <rPr>
        <sz val="11"/>
        <color rgb="FF010101"/>
        <rFont val="Calibri"/>
        <family val="2"/>
        <charset val="238"/>
        <scheme val="minor"/>
      </rPr>
      <t>B.333</t>
    </r>
  </si>
  <si>
    <r>
      <rPr>
        <sz val="11"/>
        <color rgb="FF131313"/>
        <rFont val="Calibri"/>
        <family val="2"/>
        <charset val="238"/>
        <scheme val="minor"/>
      </rPr>
      <t>T3</t>
    </r>
    <r>
      <rPr>
        <sz val="11"/>
        <color rgb="FF2B2B2B"/>
        <rFont val="Calibri"/>
        <family val="2"/>
        <charset val="238"/>
        <scheme val="minor"/>
      </rPr>
      <t xml:space="preserve">, </t>
    </r>
    <r>
      <rPr>
        <sz val="11"/>
        <color rgb="FF010101"/>
        <rFont val="Calibri"/>
        <family val="2"/>
        <charset val="238"/>
        <scheme val="minor"/>
      </rPr>
      <t>T4</t>
    </r>
  </si>
  <si>
    <r>
      <rPr>
        <sz val="11"/>
        <color rgb="FF010101"/>
        <rFont val="Calibri"/>
        <family val="2"/>
        <charset val="238"/>
        <scheme val="minor"/>
      </rPr>
      <t>B</t>
    </r>
    <r>
      <rPr>
        <sz val="11"/>
        <color rgb="FF2B2B2B"/>
        <rFont val="Calibri"/>
        <family val="2"/>
        <charset val="238"/>
        <scheme val="minor"/>
      </rPr>
      <t>.</t>
    </r>
    <r>
      <rPr>
        <sz val="11"/>
        <color rgb="FF010101"/>
        <rFont val="Calibri"/>
        <family val="2"/>
        <charset val="238"/>
        <scheme val="minor"/>
      </rPr>
      <t>334</t>
    </r>
  </si>
  <si>
    <r>
      <rPr>
        <sz val="11"/>
        <color rgb="FF010101"/>
        <rFont val="Calibri"/>
        <family val="2"/>
        <charset val="238"/>
        <scheme val="minor"/>
      </rPr>
      <t>T3</t>
    </r>
    <r>
      <rPr>
        <sz val="11"/>
        <color rgb="FF2B2B2B"/>
        <rFont val="Calibri"/>
        <family val="2"/>
        <charset val="238"/>
        <scheme val="minor"/>
      </rPr>
      <t xml:space="preserve">, </t>
    </r>
    <r>
      <rPr>
        <sz val="11"/>
        <color rgb="FF010101"/>
        <rFont val="Calibri"/>
        <family val="2"/>
        <charset val="238"/>
        <scheme val="minor"/>
      </rPr>
      <t>T4</t>
    </r>
  </si>
  <si>
    <r>
      <rPr>
        <sz val="11"/>
        <color rgb="FF010101"/>
        <rFont val="Calibri"/>
        <family val="2"/>
        <charset val="238"/>
        <scheme val="minor"/>
      </rPr>
      <t>B.336</t>
    </r>
  </si>
  <si>
    <r>
      <rPr>
        <sz val="11"/>
        <color rgb="FF010101"/>
        <rFont val="Calibri"/>
        <family val="2"/>
        <charset val="238"/>
        <scheme val="minor"/>
      </rPr>
      <t>B</t>
    </r>
    <r>
      <rPr>
        <sz val="11"/>
        <color rgb="FF2B2B2B"/>
        <rFont val="Calibri"/>
        <family val="2"/>
        <charset val="238"/>
        <scheme val="minor"/>
      </rPr>
      <t>.</t>
    </r>
    <r>
      <rPr>
        <sz val="11"/>
        <color rgb="FF010101"/>
        <rFont val="Calibri"/>
        <family val="2"/>
        <charset val="238"/>
        <scheme val="minor"/>
      </rPr>
      <t>337</t>
    </r>
  </si>
  <si>
    <r>
      <rPr>
        <sz val="11"/>
        <color rgb="FF010101"/>
        <rFont val="Calibri"/>
        <family val="2"/>
        <charset val="238"/>
        <scheme val="minor"/>
      </rPr>
      <t>B.338</t>
    </r>
  </si>
  <si>
    <r>
      <rPr>
        <sz val="11"/>
        <color rgb="FF010101"/>
        <rFont val="Calibri"/>
        <family val="2"/>
        <charset val="238"/>
        <scheme val="minor"/>
      </rPr>
      <t>B</t>
    </r>
    <r>
      <rPr>
        <sz val="11"/>
        <color rgb="FF2B2B2B"/>
        <rFont val="Calibri"/>
        <family val="2"/>
        <charset val="238"/>
        <scheme val="minor"/>
      </rPr>
      <t>.</t>
    </r>
    <r>
      <rPr>
        <sz val="11"/>
        <color rgb="FF010101"/>
        <rFont val="Calibri"/>
        <family val="2"/>
        <charset val="238"/>
        <scheme val="minor"/>
      </rPr>
      <t>339</t>
    </r>
  </si>
  <si>
    <r>
      <rPr>
        <sz val="11"/>
        <color rgb="FF010101"/>
        <rFont val="Calibri"/>
        <family val="2"/>
        <charset val="238"/>
        <scheme val="minor"/>
      </rPr>
      <t>C</t>
    </r>
    <r>
      <rPr>
        <sz val="11"/>
        <color rgb="FF545454"/>
        <rFont val="Calibri"/>
        <family val="2"/>
        <charset val="238"/>
        <scheme val="minor"/>
      </rPr>
      <t>.</t>
    </r>
    <r>
      <rPr>
        <sz val="11"/>
        <color rgb="FF010101"/>
        <rFont val="Calibri"/>
        <family val="2"/>
        <charset val="238"/>
        <scheme val="minor"/>
      </rPr>
      <t>331</t>
    </r>
  </si>
  <si>
    <r>
      <rPr>
        <sz val="11"/>
        <color rgb="FF010101"/>
        <rFont val="Calibri"/>
        <family val="2"/>
        <charset val="238"/>
        <scheme val="minor"/>
      </rPr>
      <t>P18</t>
    </r>
    <r>
      <rPr>
        <sz val="11"/>
        <color rgb="FF424242"/>
        <rFont val="Calibri"/>
        <family val="2"/>
        <charset val="238"/>
        <scheme val="minor"/>
      </rPr>
      <t xml:space="preserve">, </t>
    </r>
    <r>
      <rPr>
        <sz val="11"/>
        <color rgb="FF010101"/>
        <rFont val="Calibri"/>
        <family val="2"/>
        <charset val="238"/>
        <scheme val="minor"/>
      </rPr>
      <t>P19</t>
    </r>
    <r>
      <rPr>
        <sz val="11"/>
        <rFont val="Calibri"/>
        <family val="2"/>
        <charset val="238"/>
        <scheme val="minor"/>
      </rPr>
      <t>a</t>
    </r>
  </si>
  <si>
    <r>
      <rPr>
        <sz val="11"/>
        <color rgb="FF010101"/>
        <rFont val="Calibri"/>
        <family val="2"/>
        <charset val="238"/>
        <scheme val="minor"/>
      </rPr>
      <t>C</t>
    </r>
    <r>
      <rPr>
        <sz val="11"/>
        <color rgb="FF545454"/>
        <rFont val="Calibri"/>
        <family val="2"/>
        <charset val="238"/>
        <scheme val="minor"/>
      </rPr>
      <t>.</t>
    </r>
    <r>
      <rPr>
        <sz val="11"/>
        <color rgb="FF010101"/>
        <rFont val="Calibri"/>
        <family val="2"/>
        <charset val="238"/>
        <scheme val="minor"/>
      </rPr>
      <t>332</t>
    </r>
  </si>
  <si>
    <r>
      <rPr>
        <sz val="11"/>
        <color rgb="FF010101"/>
        <rFont val="Calibri"/>
        <family val="2"/>
        <charset val="238"/>
        <scheme val="minor"/>
      </rPr>
      <t>DVOULŮŽKOVÝ POKOJ</t>
    </r>
  </si>
  <si>
    <r>
      <rPr>
        <sz val="11"/>
        <color rgb="FF010101"/>
        <rFont val="Calibri"/>
        <family val="2"/>
        <charset val="238"/>
        <scheme val="minor"/>
      </rPr>
      <t>C</t>
    </r>
    <r>
      <rPr>
        <sz val="11"/>
        <color rgb="FF545454"/>
        <rFont val="Calibri"/>
        <family val="2"/>
        <charset val="238"/>
        <scheme val="minor"/>
      </rPr>
      <t>.</t>
    </r>
    <r>
      <rPr>
        <sz val="11"/>
        <color rgb="FF010101"/>
        <rFont val="Calibri"/>
        <family val="2"/>
        <charset val="238"/>
        <scheme val="minor"/>
      </rPr>
      <t>333</t>
    </r>
  </si>
  <si>
    <r>
      <rPr>
        <sz val="11"/>
        <color rgb="FF010101"/>
        <rFont val="Calibri"/>
        <family val="2"/>
        <charset val="238"/>
        <scheme val="minor"/>
      </rPr>
      <t>C</t>
    </r>
    <r>
      <rPr>
        <sz val="11"/>
        <color rgb="FF2A2A2A"/>
        <rFont val="Calibri"/>
        <family val="2"/>
        <charset val="238"/>
        <scheme val="minor"/>
      </rPr>
      <t>.</t>
    </r>
    <r>
      <rPr>
        <sz val="11"/>
        <color rgb="FF010101"/>
        <rFont val="Calibri"/>
        <family val="2"/>
        <charset val="238"/>
        <scheme val="minor"/>
      </rPr>
      <t>334</t>
    </r>
  </si>
  <si>
    <r>
      <rPr>
        <sz val="11"/>
        <color rgb="FF010101"/>
        <rFont val="Calibri"/>
        <family val="2"/>
        <charset val="238"/>
        <scheme val="minor"/>
      </rPr>
      <t>P15</t>
    </r>
    <r>
      <rPr>
        <sz val="11"/>
        <color rgb="FF2A2A2A"/>
        <rFont val="Calibri"/>
        <family val="2"/>
        <charset val="238"/>
        <scheme val="minor"/>
      </rPr>
      <t xml:space="preserve">, </t>
    </r>
    <r>
      <rPr>
        <sz val="11"/>
        <color rgb="FF010101"/>
        <rFont val="Calibri"/>
        <family val="2"/>
        <charset val="238"/>
        <scheme val="minor"/>
      </rPr>
      <t>P16</t>
    </r>
    <r>
      <rPr>
        <sz val="11"/>
        <rFont val="Calibri"/>
        <family val="2"/>
        <charset val="238"/>
        <scheme val="minor"/>
      </rPr>
      <t>a</t>
    </r>
  </si>
  <si>
    <r>
      <rPr>
        <sz val="11"/>
        <color rgb="FF010101"/>
        <rFont val="Calibri"/>
        <family val="2"/>
        <charset val="238"/>
        <scheme val="minor"/>
      </rPr>
      <t>C</t>
    </r>
    <r>
      <rPr>
        <sz val="11"/>
        <color rgb="FF545454"/>
        <rFont val="Calibri"/>
        <family val="2"/>
        <charset val="238"/>
        <scheme val="minor"/>
      </rPr>
      <t>.</t>
    </r>
    <r>
      <rPr>
        <sz val="11"/>
        <color rgb="FF010101"/>
        <rFont val="Calibri"/>
        <family val="2"/>
        <charset val="238"/>
        <scheme val="minor"/>
      </rPr>
      <t>335</t>
    </r>
  </si>
  <si>
    <r>
      <rPr>
        <sz val="11"/>
        <color rgb="FF010101"/>
        <rFont val="Calibri"/>
        <family val="2"/>
        <charset val="238"/>
        <scheme val="minor"/>
      </rPr>
      <t>C</t>
    </r>
    <r>
      <rPr>
        <sz val="11"/>
        <color rgb="FF424242"/>
        <rFont val="Calibri"/>
        <family val="2"/>
        <charset val="238"/>
        <scheme val="minor"/>
      </rPr>
      <t>.</t>
    </r>
    <r>
      <rPr>
        <sz val="11"/>
        <color rgb="FF010101"/>
        <rFont val="Calibri"/>
        <family val="2"/>
        <charset val="238"/>
        <scheme val="minor"/>
      </rPr>
      <t>336</t>
    </r>
  </si>
  <si>
    <r>
      <rPr>
        <sz val="11"/>
        <color rgb="FF010101"/>
        <rFont val="Calibri"/>
        <family val="2"/>
        <charset val="238"/>
        <scheme val="minor"/>
      </rPr>
      <t>C</t>
    </r>
    <r>
      <rPr>
        <sz val="11"/>
        <color rgb="FF545454"/>
        <rFont val="Calibri"/>
        <family val="2"/>
        <charset val="238"/>
        <scheme val="minor"/>
      </rPr>
      <t>.</t>
    </r>
    <r>
      <rPr>
        <sz val="11"/>
        <color rgb="FF010101"/>
        <rFont val="Calibri"/>
        <family val="2"/>
        <charset val="238"/>
        <scheme val="minor"/>
      </rPr>
      <t>338</t>
    </r>
  </si>
  <si>
    <r>
      <rPr>
        <sz val="11"/>
        <color rgb="FF010101"/>
        <rFont val="Calibri"/>
        <family val="2"/>
        <charset val="238"/>
        <scheme val="minor"/>
      </rPr>
      <t>C.339</t>
    </r>
  </si>
  <si>
    <r>
      <rPr>
        <sz val="11"/>
        <color rgb="FF010101"/>
        <rFont val="Calibri"/>
        <family val="2"/>
        <charset val="238"/>
        <scheme val="minor"/>
      </rPr>
      <t>A.431</t>
    </r>
  </si>
  <si>
    <r>
      <rPr>
        <sz val="11"/>
        <color rgb="FF010101"/>
        <rFont val="Calibri"/>
        <family val="2"/>
        <charset val="238"/>
        <scheme val="minor"/>
      </rPr>
      <t>P15</t>
    </r>
    <r>
      <rPr>
        <sz val="11"/>
        <color rgb="FF464646"/>
        <rFont val="Calibri"/>
        <family val="2"/>
        <charset val="238"/>
        <scheme val="minor"/>
      </rPr>
      <t xml:space="preserve">, </t>
    </r>
    <r>
      <rPr>
        <sz val="11"/>
        <color rgb="FF010101"/>
        <rFont val="Calibri"/>
        <family val="2"/>
        <charset val="238"/>
        <scheme val="minor"/>
      </rPr>
      <t>P16</t>
    </r>
    <r>
      <rPr>
        <sz val="11"/>
        <rFont val="Calibri"/>
        <family val="2"/>
        <charset val="238"/>
        <scheme val="minor"/>
      </rPr>
      <t>a</t>
    </r>
  </si>
  <si>
    <r>
      <rPr>
        <sz val="11"/>
        <color rgb="FF111111"/>
        <rFont val="Calibri"/>
        <family val="2"/>
        <charset val="238"/>
        <scheme val="minor"/>
      </rPr>
      <t>T3</t>
    </r>
    <r>
      <rPr>
        <sz val="11"/>
        <color rgb="FF464646"/>
        <rFont val="Calibri"/>
        <family val="2"/>
        <charset val="238"/>
        <scheme val="minor"/>
      </rPr>
      <t xml:space="preserve">, </t>
    </r>
    <r>
      <rPr>
        <sz val="11"/>
        <color rgb="FF010101"/>
        <rFont val="Calibri"/>
        <family val="2"/>
        <charset val="238"/>
        <scheme val="minor"/>
      </rPr>
      <t>T4</t>
    </r>
  </si>
  <si>
    <r>
      <rPr>
        <sz val="11"/>
        <color rgb="FF010101"/>
        <rFont val="Calibri"/>
        <family val="2"/>
        <charset val="238"/>
        <scheme val="minor"/>
      </rPr>
      <t>A.432</t>
    </r>
  </si>
  <si>
    <r>
      <rPr>
        <sz val="11"/>
        <color rgb="FF010101"/>
        <rFont val="Calibri"/>
        <family val="2"/>
        <charset val="238"/>
        <scheme val="minor"/>
      </rPr>
      <t>A.433</t>
    </r>
  </si>
  <si>
    <r>
      <rPr>
        <sz val="11"/>
        <color rgb="FF010101"/>
        <rFont val="Calibri"/>
        <family val="2"/>
        <charset val="238"/>
        <scheme val="minor"/>
      </rPr>
      <t>A.434</t>
    </r>
  </si>
  <si>
    <r>
      <rPr>
        <sz val="11"/>
        <color rgb="FF010101"/>
        <rFont val="Calibri"/>
        <family val="2"/>
        <charset val="238"/>
        <scheme val="minor"/>
      </rPr>
      <t>A.435</t>
    </r>
  </si>
  <si>
    <r>
      <rPr>
        <sz val="11"/>
        <color rgb="FF010101"/>
        <rFont val="Calibri"/>
        <family val="2"/>
        <charset val="238"/>
        <scheme val="minor"/>
      </rPr>
      <t>A.436</t>
    </r>
  </si>
  <si>
    <r>
      <rPr>
        <sz val="11"/>
        <color rgb="FF010101"/>
        <rFont val="Calibri"/>
        <family val="2"/>
        <charset val="238"/>
        <scheme val="minor"/>
      </rPr>
      <t>T3</t>
    </r>
    <r>
      <rPr>
        <sz val="11"/>
        <color rgb="FF464646"/>
        <rFont val="Calibri"/>
        <family val="2"/>
        <charset val="238"/>
        <scheme val="minor"/>
      </rPr>
      <t xml:space="preserve">, </t>
    </r>
    <r>
      <rPr>
        <sz val="11"/>
        <color rgb="FF010101"/>
        <rFont val="Calibri"/>
        <family val="2"/>
        <charset val="238"/>
        <scheme val="minor"/>
      </rPr>
      <t>T4</t>
    </r>
  </si>
  <si>
    <r>
      <rPr>
        <sz val="11"/>
        <color rgb="FF010101"/>
        <rFont val="Calibri"/>
        <family val="2"/>
        <charset val="238"/>
        <scheme val="minor"/>
      </rPr>
      <t>A.437</t>
    </r>
  </si>
  <si>
    <r>
      <rPr>
        <sz val="11"/>
        <color rgb="FF010101"/>
        <rFont val="Calibri"/>
        <family val="2"/>
        <charset val="238"/>
        <scheme val="minor"/>
      </rPr>
      <t>A.438</t>
    </r>
  </si>
  <si>
    <r>
      <rPr>
        <sz val="11"/>
        <color rgb="FF010101"/>
        <rFont val="Calibri"/>
        <family val="2"/>
        <charset val="238"/>
        <scheme val="minor"/>
      </rPr>
      <t>A.439</t>
    </r>
  </si>
  <si>
    <r>
      <rPr>
        <sz val="11"/>
        <color rgb="FF010101"/>
        <rFont val="Calibri"/>
        <family val="2"/>
        <charset val="238"/>
        <scheme val="minor"/>
      </rPr>
      <t>B.431</t>
    </r>
  </si>
  <si>
    <r>
      <rPr>
        <sz val="11"/>
        <color rgb="FF010101"/>
        <rFont val="Calibri"/>
        <family val="2"/>
        <charset val="238"/>
        <scheme val="minor"/>
      </rPr>
      <t>P15</t>
    </r>
    <r>
      <rPr>
        <sz val="11"/>
        <color rgb="FF4B4B4B"/>
        <rFont val="Calibri"/>
        <family val="2"/>
        <charset val="238"/>
        <scheme val="minor"/>
      </rPr>
      <t xml:space="preserve">, </t>
    </r>
    <r>
      <rPr>
        <sz val="11"/>
        <color rgb="FF010101"/>
        <rFont val="Calibri"/>
        <family val="2"/>
        <charset val="238"/>
        <scheme val="minor"/>
      </rPr>
      <t>P16</t>
    </r>
    <r>
      <rPr>
        <sz val="11"/>
        <rFont val="Calibri"/>
        <family val="2"/>
        <charset val="238"/>
        <scheme val="minor"/>
      </rPr>
      <t>a</t>
    </r>
  </si>
  <si>
    <r>
      <rPr>
        <sz val="11"/>
        <color rgb="FF010101"/>
        <rFont val="Calibri"/>
        <family val="2"/>
        <charset val="238"/>
        <scheme val="minor"/>
      </rPr>
      <t>B.432</t>
    </r>
  </si>
  <si>
    <r>
      <rPr>
        <sz val="11"/>
        <color rgb="FF010101"/>
        <rFont val="Calibri"/>
        <family val="2"/>
        <charset val="238"/>
        <scheme val="minor"/>
      </rPr>
      <t>B.433</t>
    </r>
  </si>
  <si>
    <r>
      <rPr>
        <sz val="11"/>
        <color rgb="FF010101"/>
        <rFont val="Calibri"/>
        <family val="2"/>
        <charset val="238"/>
        <scheme val="minor"/>
      </rPr>
      <t>B.434</t>
    </r>
  </si>
  <si>
    <r>
      <rPr>
        <sz val="11"/>
        <color rgb="FF010101"/>
        <rFont val="Calibri"/>
        <family val="2"/>
        <charset val="238"/>
        <scheme val="minor"/>
      </rPr>
      <t>B.435</t>
    </r>
  </si>
  <si>
    <r>
      <rPr>
        <sz val="11"/>
        <color rgb="FF010101"/>
        <rFont val="Calibri"/>
        <family val="2"/>
        <charset val="238"/>
        <scheme val="minor"/>
      </rPr>
      <t>B.436</t>
    </r>
  </si>
  <si>
    <r>
      <rPr>
        <sz val="11"/>
        <color rgb="FF010101"/>
        <rFont val="Calibri"/>
        <family val="2"/>
        <charset val="238"/>
        <scheme val="minor"/>
      </rPr>
      <t>B.437</t>
    </r>
  </si>
  <si>
    <r>
      <rPr>
        <sz val="11"/>
        <color rgb="FF010101"/>
        <rFont val="Calibri"/>
        <family val="2"/>
        <charset val="238"/>
        <scheme val="minor"/>
      </rPr>
      <t>B.438</t>
    </r>
  </si>
  <si>
    <r>
      <rPr>
        <sz val="11"/>
        <color rgb="FF010101"/>
        <rFont val="Calibri"/>
        <family val="2"/>
        <charset val="238"/>
        <scheme val="minor"/>
      </rPr>
      <t>B.439</t>
    </r>
  </si>
  <si>
    <r>
      <rPr>
        <sz val="11"/>
        <color rgb="FF010101"/>
        <rFont val="Calibri"/>
        <family val="2"/>
        <charset val="238"/>
        <scheme val="minor"/>
      </rPr>
      <t>C.431</t>
    </r>
  </si>
  <si>
    <r>
      <rPr>
        <sz val="11"/>
        <color rgb="FF010101"/>
        <rFont val="Calibri"/>
        <family val="2"/>
        <charset val="238"/>
        <scheme val="minor"/>
      </rPr>
      <t>C.432</t>
    </r>
  </si>
  <si>
    <r>
      <rPr>
        <sz val="11"/>
        <color rgb="FF010101"/>
        <rFont val="Calibri"/>
        <family val="2"/>
        <charset val="238"/>
        <scheme val="minor"/>
      </rPr>
      <t>C.433</t>
    </r>
  </si>
  <si>
    <r>
      <rPr>
        <sz val="11"/>
        <color rgb="FF010101"/>
        <rFont val="Calibri"/>
        <family val="2"/>
        <charset val="238"/>
        <scheme val="minor"/>
      </rPr>
      <t>C.434</t>
    </r>
  </si>
  <si>
    <r>
      <rPr>
        <sz val="11"/>
        <color rgb="FF010101"/>
        <rFont val="Calibri"/>
        <family val="2"/>
        <charset val="238"/>
        <scheme val="minor"/>
      </rPr>
      <t>C.435</t>
    </r>
  </si>
  <si>
    <r>
      <rPr>
        <sz val="11"/>
        <color rgb="FF010101"/>
        <rFont val="Calibri"/>
        <family val="2"/>
        <charset val="238"/>
        <scheme val="minor"/>
      </rPr>
      <t>C.436</t>
    </r>
  </si>
  <si>
    <r>
      <rPr>
        <sz val="11"/>
        <color rgb="FF010101"/>
        <rFont val="Calibri"/>
        <family val="2"/>
        <charset val="238"/>
        <scheme val="minor"/>
      </rPr>
      <t>C.437</t>
    </r>
  </si>
  <si>
    <r>
      <rPr>
        <sz val="11"/>
        <color rgb="FF010101"/>
        <rFont val="Calibri"/>
        <family val="2"/>
        <charset val="238"/>
        <scheme val="minor"/>
      </rPr>
      <t>C.438</t>
    </r>
  </si>
  <si>
    <r>
      <rPr>
        <sz val="11"/>
        <color rgb="FF010101"/>
        <rFont val="Calibri"/>
        <family val="2"/>
        <charset val="238"/>
        <scheme val="minor"/>
      </rPr>
      <t>C.439</t>
    </r>
  </si>
  <si>
    <t>PŘÍLOHA P3 - POVRCHY STĚN</t>
  </si>
  <si>
    <r>
      <rPr>
        <b/>
        <sz val="11"/>
        <color rgb="FF010101"/>
        <rFont val="Calibri"/>
        <family val="2"/>
        <charset val="238"/>
        <scheme val="minor"/>
      </rPr>
      <t>P1</t>
    </r>
  </si>
  <si>
    <r>
      <rPr>
        <b/>
        <sz val="11"/>
        <color rgb="FF010101"/>
        <rFont val="Calibri"/>
        <family val="2"/>
        <charset val="238"/>
        <scheme val="minor"/>
      </rPr>
      <t>P2</t>
    </r>
  </si>
  <si>
    <r>
      <rPr>
        <b/>
        <sz val="11"/>
        <color rgb="FF030303"/>
        <rFont val="Calibri"/>
        <family val="2"/>
        <charset val="238"/>
        <scheme val="minor"/>
      </rPr>
      <t>P3</t>
    </r>
    <r>
      <rPr>
        <sz val="11"/>
        <color theme="1"/>
        <rFont val="Calibri"/>
        <family val="2"/>
        <charset val="238"/>
        <scheme val="minor"/>
      </rPr>
      <t/>
    </r>
  </si>
  <si>
    <r>
      <rPr>
        <b/>
        <sz val="11"/>
        <color rgb="FF030303"/>
        <rFont val="Calibri"/>
        <family val="2"/>
        <charset val="238"/>
        <scheme val="minor"/>
      </rPr>
      <t>P4</t>
    </r>
  </si>
  <si>
    <r>
      <rPr>
        <b/>
        <sz val="11"/>
        <color rgb="FF030303"/>
        <rFont val="Calibri"/>
        <family val="2"/>
        <charset val="238"/>
        <scheme val="minor"/>
      </rPr>
      <t>P5</t>
    </r>
    <r>
      <rPr>
        <b/>
        <sz val="11"/>
        <rFont val="Calibri"/>
        <family val="2"/>
        <charset val="238"/>
        <scheme val="minor"/>
      </rPr>
      <t>a</t>
    </r>
  </si>
  <si>
    <r>
      <rPr>
        <b/>
        <sz val="11"/>
        <color rgb="FF030303"/>
        <rFont val="Calibri"/>
        <family val="2"/>
        <charset val="238"/>
        <scheme val="minor"/>
      </rPr>
      <t>P6</t>
    </r>
    <r>
      <rPr>
        <b/>
        <sz val="11"/>
        <rFont val="Calibri"/>
        <family val="2"/>
        <charset val="238"/>
        <scheme val="minor"/>
      </rPr>
      <t>a</t>
    </r>
  </si>
  <si>
    <r>
      <rPr>
        <b/>
        <sz val="11"/>
        <color rgb="FF030303"/>
        <rFont val="Calibri"/>
        <family val="2"/>
        <charset val="238"/>
        <scheme val="minor"/>
      </rPr>
      <t>P7</t>
    </r>
    <r>
      <rPr>
        <sz val="11"/>
        <color theme="1"/>
        <rFont val="Calibri"/>
        <family val="2"/>
        <charset val="238"/>
        <scheme val="minor"/>
      </rPr>
      <t/>
    </r>
  </si>
  <si>
    <r>
      <rPr>
        <b/>
        <sz val="11"/>
        <color rgb="FF030303"/>
        <rFont val="Calibri"/>
        <family val="2"/>
        <charset val="238"/>
        <scheme val="minor"/>
      </rPr>
      <t>P8</t>
    </r>
    <r>
      <rPr>
        <sz val="11"/>
        <color theme="1"/>
        <rFont val="Calibri"/>
        <family val="2"/>
        <charset val="238"/>
        <scheme val="minor"/>
      </rPr>
      <t/>
    </r>
  </si>
  <si>
    <r>
      <rPr>
        <b/>
        <sz val="11"/>
        <color rgb="FF030303"/>
        <rFont val="Calibri"/>
        <family val="2"/>
        <charset val="238"/>
        <scheme val="minor"/>
      </rPr>
      <t>P10</t>
    </r>
  </si>
  <si>
    <r>
      <rPr>
        <b/>
        <sz val="11"/>
        <color rgb="FF030303"/>
        <rFont val="Calibri"/>
        <family val="2"/>
        <charset val="238"/>
        <scheme val="minor"/>
      </rPr>
      <t>P14</t>
    </r>
  </si>
  <si>
    <r>
      <rPr>
        <b/>
        <sz val="11"/>
        <color rgb="FF030303"/>
        <rFont val="Calibri"/>
        <family val="2"/>
        <charset val="238"/>
        <scheme val="minor"/>
      </rPr>
      <t>P15</t>
    </r>
  </si>
  <si>
    <r>
      <rPr>
        <b/>
        <sz val="11"/>
        <color rgb="FF010101"/>
        <rFont val="Calibri"/>
        <family val="2"/>
        <charset val="238"/>
        <scheme val="minor"/>
      </rPr>
      <t>P23</t>
    </r>
  </si>
  <si>
    <r>
      <rPr>
        <sz val="11"/>
        <color rgb="FF010101"/>
        <rFont val="Calibri"/>
        <family val="2"/>
        <charset val="238"/>
        <scheme val="minor"/>
      </rPr>
      <t>P15</t>
    </r>
    <r>
      <rPr>
        <sz val="11"/>
        <color theme="1"/>
        <rFont val="Calibri"/>
        <family val="2"/>
        <charset val="238"/>
        <scheme val="minor"/>
      </rPr>
      <t/>
    </r>
  </si>
  <si>
    <r>
      <rPr>
        <sz val="11"/>
        <color rgb="FF030303"/>
        <rFont val="Calibri"/>
        <family val="2"/>
        <charset val="238"/>
        <scheme val="minor"/>
      </rPr>
      <t>P1</t>
    </r>
    <r>
      <rPr>
        <sz val="11"/>
        <color rgb="FF1C1C1C"/>
        <rFont val="Calibri"/>
        <family val="2"/>
        <charset val="238"/>
        <scheme val="minor"/>
      </rPr>
      <t>6b</t>
    </r>
  </si>
  <si>
    <r>
      <rPr>
        <sz val="11"/>
        <color rgb="FF010101"/>
        <rFont val="Calibri"/>
        <family val="2"/>
        <charset val="238"/>
        <scheme val="minor"/>
      </rPr>
      <t>P17</t>
    </r>
    <r>
      <rPr>
        <sz val="11"/>
        <color theme="1"/>
        <rFont val="Calibri"/>
        <family val="2"/>
        <charset val="238"/>
        <scheme val="minor"/>
      </rPr>
      <t/>
    </r>
  </si>
  <si>
    <r>
      <rPr>
        <sz val="11"/>
        <color rgb="FF030303"/>
        <rFont val="Calibri"/>
        <family val="2"/>
        <charset val="238"/>
        <scheme val="minor"/>
      </rPr>
      <t>P3</t>
    </r>
    <r>
      <rPr>
        <sz val="11"/>
        <color theme="1"/>
        <rFont val="Calibri"/>
        <family val="2"/>
        <charset val="238"/>
        <scheme val="minor"/>
      </rPr>
      <t/>
    </r>
  </si>
  <si>
    <r>
      <rPr>
        <sz val="11"/>
        <color rgb="FF030303"/>
        <rFont val="Calibri"/>
        <family val="2"/>
        <charset val="238"/>
        <scheme val="minor"/>
      </rPr>
      <t>P7</t>
    </r>
    <r>
      <rPr>
        <sz val="11"/>
        <color theme="1"/>
        <rFont val="Calibri"/>
        <family val="2"/>
        <charset val="238"/>
        <scheme val="minor"/>
      </rPr>
      <t/>
    </r>
  </si>
  <si>
    <r>
      <rPr>
        <sz val="11"/>
        <color rgb="FF030303"/>
        <rFont val="Calibri"/>
        <family val="2"/>
        <charset val="238"/>
        <scheme val="minor"/>
      </rPr>
      <t>P8</t>
    </r>
    <r>
      <rPr>
        <sz val="11"/>
        <color theme="1"/>
        <rFont val="Calibri"/>
        <family val="2"/>
        <charset val="238"/>
        <scheme val="minor"/>
      </rPr>
      <t/>
    </r>
  </si>
  <si>
    <r>
      <rPr>
        <sz val="11"/>
        <color rgb="FF1A1A1A"/>
        <rFont val="Calibri"/>
        <family val="2"/>
        <charset val="238"/>
        <scheme val="minor"/>
      </rPr>
      <t>P</t>
    </r>
    <r>
      <rPr>
        <sz val="11"/>
        <color rgb="FF363636"/>
        <rFont val="Calibri"/>
        <family val="2"/>
        <charset val="238"/>
        <scheme val="minor"/>
      </rPr>
      <t>8</t>
    </r>
    <r>
      <rPr>
        <sz val="11"/>
        <color theme="1"/>
        <rFont val="Calibri"/>
        <family val="2"/>
        <charset val="238"/>
        <scheme val="minor"/>
      </rPr>
      <t/>
    </r>
  </si>
  <si>
    <t>PŘÍLOHA P4 - SOKLY</t>
  </si>
  <si>
    <t>CELKEM M2</t>
  </si>
  <si>
    <t>PŘÍLOHA P5 - LOP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</si>
</sst>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6" formatCode="#,##0.0"/>
  </numFmts>
  <fonts count="52" x14ac:knownFonts="1">
    <font>
      <sz val="10"/>
      <color rgb="FF000000"/>
      <name val="Times New Roman"/>
      <charset val="204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name val="Times New Roman"/>
      <family val="1"/>
      <charset val="238"/>
    </font>
    <font>
      <sz val="8"/>
      <name val="Times New Roman"/>
      <family val="1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rgb="FF010101"/>
      <name val="Calibri"/>
      <family val="2"/>
      <charset val="238"/>
      <scheme val="minor"/>
    </font>
    <font>
      <sz val="11"/>
      <color rgb="FF030303"/>
      <name val="Calibri"/>
      <family val="2"/>
      <charset val="238"/>
      <scheme val="minor"/>
    </font>
    <font>
      <b/>
      <sz val="11"/>
      <color rgb="FF01010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111111"/>
      <name val="Calibri"/>
      <family val="2"/>
      <charset val="238"/>
      <scheme val="minor"/>
    </font>
    <font>
      <vertAlign val="superscript"/>
      <sz val="11"/>
      <color rgb="FF111111"/>
      <name val="Calibri"/>
      <family val="2"/>
      <charset val="238"/>
      <scheme val="minor"/>
    </font>
    <font>
      <sz val="11"/>
      <color rgb="FF262626"/>
      <name val="Calibri"/>
      <family val="2"/>
      <charset val="238"/>
      <scheme val="minor"/>
    </font>
    <font>
      <sz val="11"/>
      <color rgb="FF1A1A1A"/>
      <name val="Calibri"/>
      <family val="2"/>
      <charset val="238"/>
      <scheme val="minor"/>
    </font>
    <font>
      <sz val="11"/>
      <color rgb="FF363636"/>
      <name val="Calibri"/>
      <family val="2"/>
      <charset val="238"/>
      <scheme val="minor"/>
    </font>
    <font>
      <sz val="11"/>
      <color rgb="FF4B4B4B"/>
      <name val="Calibri"/>
      <family val="2"/>
      <charset val="238"/>
      <scheme val="minor"/>
    </font>
    <font>
      <sz val="11"/>
      <color rgb="FF383838"/>
      <name val="Calibri"/>
      <family val="2"/>
      <charset val="238"/>
      <scheme val="minor"/>
    </font>
    <font>
      <sz val="11"/>
      <color rgb="FF494949"/>
      <name val="Calibri"/>
      <family val="2"/>
      <charset val="238"/>
      <scheme val="minor"/>
    </font>
    <font>
      <sz val="11"/>
      <color rgb="FF2A2A2A"/>
      <name val="Calibri"/>
      <family val="2"/>
      <charset val="238"/>
      <scheme val="minor"/>
    </font>
    <font>
      <sz val="11"/>
      <color rgb="FF444444"/>
      <name val="Calibri"/>
      <family val="2"/>
      <charset val="238"/>
      <scheme val="minor"/>
    </font>
    <font>
      <sz val="11"/>
      <color rgb="FF525252"/>
      <name val="Calibri"/>
      <family val="2"/>
      <charset val="238"/>
      <scheme val="minor"/>
    </font>
    <font>
      <sz val="11"/>
      <color rgb="FF545454"/>
      <name val="Calibri"/>
      <family val="2"/>
      <charset val="238"/>
      <scheme val="minor"/>
    </font>
    <font>
      <sz val="11"/>
      <color rgb="FF565656"/>
      <name val="Calibri"/>
      <family val="2"/>
      <charset val="238"/>
      <scheme val="minor"/>
    </font>
    <font>
      <sz val="11"/>
      <color rgb="FF282828"/>
      <name val="Calibri"/>
      <family val="2"/>
      <charset val="238"/>
      <scheme val="minor"/>
    </font>
    <font>
      <sz val="11"/>
      <color rgb="FF3F3F3F"/>
      <name val="Calibri"/>
      <family val="2"/>
      <charset val="238"/>
      <scheme val="minor"/>
    </font>
    <font>
      <sz val="11"/>
      <color rgb="FF333333"/>
      <name val="Calibri"/>
      <family val="2"/>
      <charset val="238"/>
      <scheme val="minor"/>
    </font>
    <font>
      <sz val="11"/>
      <color rgb="FF0F0F0F"/>
      <name val="Calibri"/>
      <family val="2"/>
      <charset val="238"/>
      <scheme val="minor"/>
    </font>
    <font>
      <sz val="11"/>
      <color rgb="FF232323"/>
      <name val="Calibri"/>
      <family val="2"/>
      <charset val="238"/>
      <scheme val="minor"/>
    </font>
    <font>
      <sz val="11"/>
      <color rgb="FF484848"/>
      <name val="Calibri"/>
      <family val="2"/>
      <charset val="238"/>
      <scheme val="minor"/>
    </font>
    <font>
      <sz val="11"/>
      <color rgb="FF3D3D3D"/>
      <name val="Calibri"/>
      <family val="2"/>
      <charset val="238"/>
      <scheme val="minor"/>
    </font>
    <font>
      <sz val="11"/>
      <color rgb="FF424242"/>
      <name val="Calibri"/>
      <family val="2"/>
      <charset val="238"/>
      <scheme val="minor"/>
    </font>
    <font>
      <sz val="11"/>
      <color rgb="FF1C1C1C"/>
      <name val="Calibri"/>
      <family val="2"/>
      <charset val="238"/>
      <scheme val="minor"/>
    </font>
    <font>
      <sz val="11"/>
      <color rgb="FF131313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5E5E5E"/>
      <name val="Calibri"/>
      <family val="2"/>
      <charset val="238"/>
      <scheme val="minor"/>
    </font>
    <font>
      <sz val="11"/>
      <color rgb="FF575757"/>
      <name val="Calibri"/>
      <family val="2"/>
      <charset val="238"/>
      <scheme val="minor"/>
    </font>
    <font>
      <sz val="11"/>
      <color rgb="FF2B2B2B"/>
      <name val="Calibri"/>
      <family val="2"/>
      <charset val="238"/>
      <scheme val="minor"/>
    </font>
    <font>
      <sz val="11"/>
      <color rgb="FF464646"/>
      <name val="Calibri"/>
      <family val="2"/>
      <charset val="238"/>
      <scheme val="minor"/>
    </font>
    <font>
      <sz val="11"/>
      <color rgb="FF242424"/>
      <name val="Calibri"/>
      <family val="2"/>
      <charset val="238"/>
      <scheme val="minor"/>
    </font>
    <font>
      <sz val="11"/>
      <color rgb="FF606060"/>
      <name val="Calibri"/>
      <family val="2"/>
      <charset val="238"/>
      <scheme val="minor"/>
    </font>
    <font>
      <sz val="11"/>
      <color rgb="FF626262"/>
      <name val="Calibri"/>
      <family val="2"/>
      <charset val="238"/>
      <scheme val="minor"/>
    </font>
    <font>
      <sz val="11"/>
      <color rgb="FF595959"/>
      <name val="Calibri"/>
      <family val="2"/>
      <charset val="238"/>
      <scheme val="minor"/>
    </font>
    <font>
      <b/>
      <sz val="14"/>
      <color rgb="FF000000"/>
      <name val="Calibri"/>
      <family val="2"/>
      <charset val="238"/>
      <scheme val="minor"/>
    </font>
    <font>
      <b/>
      <sz val="11"/>
      <color rgb="FF030303"/>
      <name val="Calibri"/>
      <family val="2"/>
      <charset val="238"/>
      <scheme val="minor"/>
    </font>
    <font>
      <strike/>
      <sz val="11"/>
      <color rgb="FF000000"/>
      <name val="Calibri"/>
      <family val="2"/>
      <charset val="238"/>
      <scheme val="minor"/>
    </font>
    <font>
      <b/>
      <sz val="11"/>
      <color rgb="FF1A1A1A"/>
      <name val="Calibri"/>
      <family val="2"/>
      <charset val="238"/>
      <scheme val="minor"/>
    </font>
    <font>
      <b/>
      <sz val="11"/>
      <color rgb="FF363636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</fills>
  <borders count="3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279">
    <xf numFmtId="0" fontId="0" fillId="0" borderId="0" xfId="0" applyAlignment="1">
      <alignment horizontal="left" vertical="top"/>
    </xf>
    <xf numFmtId="0" fontId="2" fillId="0" borderId="0" xfId="1"/>
    <xf numFmtId="4" fontId="2" fillId="0" borderId="0" xfId="1" applyNumberFormat="1"/>
    <xf numFmtId="4" fontId="2" fillId="0" borderId="0" xfId="1" applyNumberFormat="1" applyAlignment="1">
      <alignment horizontal="left"/>
    </xf>
    <xf numFmtId="4" fontId="5" fillId="0" borderId="0" xfId="1" applyNumberFormat="1" applyFont="1"/>
    <xf numFmtId="0" fontId="8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right" vertical="center"/>
    </xf>
    <xf numFmtId="0" fontId="8" fillId="0" borderId="26" xfId="0" applyFont="1" applyBorder="1" applyAlignment="1">
      <alignment horizontal="center" vertical="center"/>
    </xf>
    <xf numFmtId="0" fontId="10" fillId="0" borderId="26" xfId="0" applyFont="1" applyBorder="1" applyAlignment="1">
      <alignment horizontal="center" vertical="center" wrapText="1"/>
    </xf>
    <xf numFmtId="2" fontId="9" fillId="0" borderId="26" xfId="0" applyNumberFormat="1" applyFont="1" applyBorder="1" applyAlignment="1">
      <alignment horizontal="right" vertical="center"/>
    </xf>
    <xf numFmtId="0" fontId="9" fillId="0" borderId="26" xfId="0" applyFont="1" applyBorder="1" applyAlignment="1">
      <alignment horizontal="center" vertical="center"/>
    </xf>
    <xf numFmtId="0" fontId="13" fillId="0" borderId="10" xfId="0" applyFont="1" applyBorder="1" applyAlignment="1">
      <alignment horizontal="left" vertical="center" wrapText="1"/>
    </xf>
    <xf numFmtId="0" fontId="9" fillId="0" borderId="11" xfId="0" applyFont="1" applyBorder="1" applyAlignment="1">
      <alignment horizontal="left" vertical="center" wrapText="1"/>
    </xf>
    <xf numFmtId="0" fontId="9" fillId="0" borderId="12" xfId="0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8" fillId="0" borderId="0" xfId="0" applyFont="1" applyAlignment="1">
      <alignment horizontal="center" vertical="center"/>
    </xf>
    <xf numFmtId="0" fontId="14" fillId="0" borderId="14" xfId="0" applyFont="1" applyBorder="1" applyAlignment="1">
      <alignment horizontal="center" vertical="center" wrapText="1"/>
    </xf>
    <xf numFmtId="0" fontId="14" fillId="0" borderId="15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14" fillId="0" borderId="16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14" fillId="0" borderId="21" xfId="0" applyFont="1" applyBorder="1" applyAlignment="1">
      <alignment horizontal="center" vertical="center" wrapText="1"/>
    </xf>
    <xf numFmtId="0" fontId="14" fillId="0" borderId="17" xfId="0" applyFont="1" applyBorder="1" applyAlignment="1">
      <alignment horizontal="center" vertical="center" wrapText="1"/>
    </xf>
    <xf numFmtId="0" fontId="14" fillId="0" borderId="18" xfId="0" applyFont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 wrapText="1"/>
    </xf>
    <xf numFmtId="0" fontId="14" fillId="0" borderId="20" xfId="0" applyFont="1" applyBorder="1" applyAlignment="1">
      <alignment horizontal="center" vertical="center" wrapText="1"/>
    </xf>
    <xf numFmtId="0" fontId="9" fillId="0" borderId="22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2" fontId="12" fillId="0" borderId="3" xfId="0" applyNumberFormat="1" applyFont="1" applyBorder="1" applyAlignment="1">
      <alignment horizontal="right" vertical="center" shrinkToFit="1"/>
    </xf>
    <xf numFmtId="0" fontId="9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2" fontId="12" fillId="0" borderId="1" xfId="0" applyNumberFormat="1" applyFont="1" applyBorder="1" applyAlignment="1">
      <alignment horizontal="right" vertical="center" shrinkToFit="1"/>
    </xf>
    <xf numFmtId="0" fontId="9" fillId="0" borderId="1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2" fontId="18" fillId="0" borderId="1" xfId="0" applyNumberFormat="1" applyFont="1" applyBorder="1" applyAlignment="1">
      <alignment horizontal="right" vertical="center" shrinkToFit="1"/>
    </xf>
    <xf numFmtId="0" fontId="9" fillId="0" borderId="7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left" vertical="center" wrapText="1"/>
    </xf>
    <xf numFmtId="0" fontId="19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2" fontId="11" fillId="0" borderId="1" xfId="0" applyNumberFormat="1" applyFont="1" applyBorder="1" applyAlignment="1">
      <alignment horizontal="right" vertical="center" shrinkToFit="1"/>
    </xf>
    <xf numFmtId="2" fontId="15" fillId="0" borderId="1" xfId="0" applyNumberFormat="1" applyFont="1" applyBorder="1" applyAlignment="1">
      <alignment horizontal="right" vertical="center" shrinkToFit="1"/>
    </xf>
    <xf numFmtId="0" fontId="9" fillId="0" borderId="7" xfId="0" applyFont="1" applyBorder="1" applyAlignment="1">
      <alignment vertical="center" wrapText="1"/>
    </xf>
    <xf numFmtId="2" fontId="11" fillId="0" borderId="1" xfId="0" applyNumberFormat="1" applyFont="1" applyBorder="1" applyAlignment="1">
      <alignment vertical="center" shrinkToFit="1"/>
    </xf>
    <xf numFmtId="0" fontId="10" fillId="0" borderId="2" xfId="0" applyFont="1" applyBorder="1" applyAlignment="1">
      <alignment horizontal="center" vertical="center" wrapText="1"/>
    </xf>
    <xf numFmtId="0" fontId="9" fillId="2" borderId="0" xfId="0" applyFont="1" applyFill="1" applyAlignment="1">
      <alignment horizontal="left" vertical="center"/>
    </xf>
    <xf numFmtId="0" fontId="10" fillId="2" borderId="8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left" vertical="center" wrapText="1"/>
    </xf>
    <xf numFmtId="2" fontId="12" fillId="2" borderId="1" xfId="0" applyNumberFormat="1" applyFont="1" applyFill="1" applyBorder="1" applyAlignment="1">
      <alignment horizontal="right" vertical="center" shrinkToFit="1"/>
    </xf>
    <xf numFmtId="1" fontId="12" fillId="2" borderId="1" xfId="0" applyNumberFormat="1" applyFont="1" applyFill="1" applyBorder="1" applyAlignment="1">
      <alignment horizontal="center" vertical="center" shrinkToFi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left" vertical="center" wrapText="1"/>
    </xf>
    <xf numFmtId="49" fontId="11" fillId="0" borderId="1" xfId="0" applyNumberFormat="1" applyFont="1" applyBorder="1" applyAlignment="1">
      <alignment horizontal="center" vertical="center" shrinkToFit="1"/>
    </xf>
    <xf numFmtId="0" fontId="11" fillId="0" borderId="1" xfId="0" applyFont="1" applyBorder="1" applyAlignment="1">
      <alignment horizontal="center" vertical="center" wrapText="1"/>
    </xf>
    <xf numFmtId="1" fontId="11" fillId="0" borderId="1" xfId="0" applyNumberFormat="1" applyFont="1" applyBorder="1" applyAlignment="1">
      <alignment horizontal="center" vertical="center" shrinkToFit="1"/>
    </xf>
    <xf numFmtId="0" fontId="10" fillId="0" borderId="5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left" vertical="center" wrapText="1"/>
    </xf>
    <xf numFmtId="2" fontId="11" fillId="0" borderId="2" xfId="0" applyNumberFormat="1" applyFont="1" applyBorder="1" applyAlignment="1">
      <alignment horizontal="right" vertical="center" shrinkToFit="1"/>
    </xf>
    <xf numFmtId="1" fontId="11" fillId="0" borderId="2" xfId="0" applyNumberFormat="1" applyFont="1" applyBorder="1" applyAlignment="1">
      <alignment horizontal="center" vertical="center" shrinkToFit="1"/>
    </xf>
    <xf numFmtId="0" fontId="10" fillId="0" borderId="19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center" vertical="center" wrapText="1"/>
    </xf>
    <xf numFmtId="2" fontId="11" fillId="0" borderId="3" xfId="0" applyNumberFormat="1" applyFont="1" applyBorder="1" applyAlignment="1">
      <alignment horizontal="right" vertical="center" shrinkToFit="1"/>
    </xf>
    <xf numFmtId="1" fontId="11" fillId="0" borderId="3" xfId="0" applyNumberFormat="1" applyFont="1" applyBorder="1" applyAlignment="1">
      <alignment horizontal="center" vertical="center" shrinkToFit="1"/>
    </xf>
    <xf numFmtId="0" fontId="10" fillId="0" borderId="13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31" fillId="0" borderId="1" xfId="0" applyFont="1" applyBorder="1" applyAlignment="1">
      <alignment horizontal="center" vertical="center" wrapText="1"/>
    </xf>
    <xf numFmtId="2" fontId="31" fillId="0" borderId="1" xfId="0" applyNumberFormat="1" applyFont="1" applyBorder="1" applyAlignment="1">
      <alignment horizontal="right" vertical="center" shrinkToFit="1"/>
    </xf>
    <xf numFmtId="0" fontId="9" fillId="0" borderId="1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center" wrapText="1"/>
    </xf>
    <xf numFmtId="1" fontId="12" fillId="0" borderId="1" xfId="0" applyNumberFormat="1" applyFont="1" applyBorder="1" applyAlignment="1">
      <alignment horizontal="center" vertical="center" shrinkToFit="1"/>
    </xf>
    <xf numFmtId="0" fontId="10" fillId="0" borderId="7" xfId="0" applyFont="1" applyBorder="1" applyAlignment="1">
      <alignment horizontal="center" vertical="center" wrapText="1"/>
    </xf>
    <xf numFmtId="164" fontId="12" fillId="0" borderId="1" xfId="0" applyNumberFormat="1" applyFont="1" applyBorder="1" applyAlignment="1">
      <alignment horizontal="center" vertical="center" shrinkToFit="1"/>
    </xf>
    <xf numFmtId="164" fontId="11" fillId="0" borderId="1" xfId="0" applyNumberFormat="1" applyFont="1" applyBorder="1" applyAlignment="1">
      <alignment horizontal="center" vertical="center" shrinkToFit="1"/>
    </xf>
    <xf numFmtId="0" fontId="38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7" fillId="0" borderId="8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2" fontId="7" fillId="0" borderId="1" xfId="0" applyNumberFormat="1" applyFont="1" applyBorder="1" applyAlignment="1">
      <alignment horizontal="right" vertical="center" shrinkToFit="1"/>
    </xf>
    <xf numFmtId="164" fontId="7" fillId="0" borderId="1" xfId="0" applyNumberFormat="1" applyFont="1" applyBorder="1" applyAlignment="1">
      <alignment horizontal="center" vertical="center" shrinkToFit="1"/>
    </xf>
    <xf numFmtId="0" fontId="7" fillId="0" borderId="7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164" fontId="7" fillId="0" borderId="2" xfId="0" applyNumberFormat="1" applyFont="1" applyBorder="1" applyAlignment="1">
      <alignment horizontal="center" vertical="center" shrinkToFit="1"/>
    </xf>
    <xf numFmtId="0" fontId="7" fillId="0" borderId="2" xfId="0" applyFont="1" applyBorder="1" applyAlignment="1">
      <alignment horizontal="center" vertical="center" wrapText="1"/>
    </xf>
    <xf numFmtId="0" fontId="7" fillId="0" borderId="19" xfId="0" applyFont="1" applyBorder="1" applyAlignment="1">
      <alignment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164" fontId="7" fillId="0" borderId="3" xfId="0" applyNumberFormat="1" applyFont="1" applyBorder="1" applyAlignment="1">
      <alignment horizontal="center" vertical="center" shrinkToFit="1"/>
    </xf>
    <xf numFmtId="0" fontId="7" fillId="0" borderId="3" xfId="0" applyFont="1" applyBorder="1" applyAlignment="1">
      <alignment horizontal="center" vertical="center" wrapText="1"/>
    </xf>
    <xf numFmtId="0" fontId="7" fillId="0" borderId="13" xfId="0" applyFont="1" applyBorder="1" applyAlignment="1">
      <alignment vertical="center" wrapText="1"/>
    </xf>
    <xf numFmtId="0" fontId="7" fillId="0" borderId="7" xfId="0" applyFont="1" applyBorder="1" applyAlignment="1">
      <alignment vertical="center" wrapText="1"/>
    </xf>
    <xf numFmtId="0" fontId="7" fillId="0" borderId="19" xfId="0" applyFont="1" applyBorder="1" applyAlignment="1">
      <alignment horizontal="left" vertical="center" wrapText="1"/>
    </xf>
    <xf numFmtId="0" fontId="10" fillId="0" borderId="7" xfId="0" applyFont="1" applyBorder="1" applyAlignment="1">
      <alignment vertical="center" wrapText="1"/>
    </xf>
    <xf numFmtId="0" fontId="12" fillId="0" borderId="1" xfId="0" applyFont="1" applyBorder="1" applyAlignment="1">
      <alignment horizontal="left" vertical="center" wrapText="1"/>
    </xf>
    <xf numFmtId="2" fontId="11" fillId="0" borderId="2" xfId="0" applyNumberFormat="1" applyFont="1" applyBorder="1" applyAlignment="1">
      <alignment vertical="center" shrinkToFit="1"/>
    </xf>
    <xf numFmtId="1" fontId="7" fillId="0" borderId="1" xfId="0" applyNumberFormat="1" applyFont="1" applyBorder="1" applyAlignment="1">
      <alignment horizontal="center" vertical="center" shrinkToFit="1"/>
    </xf>
    <xf numFmtId="0" fontId="10" fillId="0" borderId="23" xfId="0" applyFont="1" applyBorder="1" applyAlignment="1">
      <alignment horizontal="center" vertical="center" wrapText="1"/>
    </xf>
    <xf numFmtId="0" fontId="10" fillId="0" borderId="24" xfId="0" applyFont="1" applyBorder="1" applyAlignment="1">
      <alignment horizontal="left" vertical="center" wrapText="1"/>
    </xf>
    <xf numFmtId="2" fontId="11" fillId="0" borderId="24" xfId="0" applyNumberFormat="1" applyFont="1" applyBorder="1" applyAlignment="1">
      <alignment horizontal="right" vertical="center" shrinkToFit="1"/>
    </xf>
    <xf numFmtId="1" fontId="11" fillId="0" borderId="24" xfId="0" applyNumberFormat="1" applyFont="1" applyBorder="1" applyAlignment="1">
      <alignment horizontal="center" vertical="center" shrinkToFit="1"/>
    </xf>
    <xf numFmtId="0" fontId="10" fillId="0" borderId="24" xfId="0" applyFont="1" applyBorder="1" applyAlignment="1">
      <alignment horizontal="center" vertical="center" wrapText="1"/>
    </xf>
    <xf numFmtId="0" fontId="10" fillId="0" borderId="25" xfId="0" applyFont="1" applyBorder="1" applyAlignment="1">
      <alignment horizontal="left" vertical="center" wrapText="1"/>
    </xf>
    <xf numFmtId="2" fontId="11" fillId="0" borderId="3" xfId="0" applyNumberFormat="1" applyFont="1" applyBorder="1" applyAlignment="1">
      <alignment vertical="center" shrinkToFit="1"/>
    </xf>
    <xf numFmtId="164" fontId="11" fillId="0" borderId="3" xfId="0" applyNumberFormat="1" applyFont="1" applyBorder="1" applyAlignment="1">
      <alignment horizontal="center" vertical="center" shrinkToFit="1"/>
    </xf>
    <xf numFmtId="0" fontId="9" fillId="0" borderId="2" xfId="0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horizontal="right" vertical="center" shrinkToFit="1"/>
    </xf>
    <xf numFmtId="1" fontId="9" fillId="0" borderId="1" xfId="0" applyNumberFormat="1" applyFont="1" applyBorder="1" applyAlignment="1">
      <alignment horizontal="center" vertical="center" shrinkToFit="1"/>
    </xf>
    <xf numFmtId="2" fontId="37" fillId="0" borderId="1" xfId="0" applyNumberFormat="1" applyFont="1" applyBorder="1" applyAlignment="1">
      <alignment vertical="center" shrinkToFit="1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2" fontId="12" fillId="0" borderId="2" xfId="0" applyNumberFormat="1" applyFont="1" applyBorder="1" applyAlignment="1">
      <alignment horizontal="right" vertical="center" shrinkToFit="1"/>
    </xf>
    <xf numFmtId="1" fontId="12" fillId="0" borderId="2" xfId="0" applyNumberFormat="1" applyFont="1" applyBorder="1" applyAlignment="1">
      <alignment horizontal="center" vertical="center" shrinkToFit="1"/>
    </xf>
    <xf numFmtId="0" fontId="10" fillId="0" borderId="19" xfId="0" applyFont="1" applyBorder="1" applyAlignment="1">
      <alignment horizontal="center" vertical="center" wrapText="1"/>
    </xf>
    <xf numFmtId="1" fontId="19" fillId="0" borderId="1" xfId="0" applyNumberFormat="1" applyFont="1" applyBorder="1" applyAlignment="1">
      <alignment horizontal="center" vertical="center" shrinkToFit="1"/>
    </xf>
    <xf numFmtId="1" fontId="18" fillId="0" borderId="1" xfId="0" applyNumberFormat="1" applyFont="1" applyBorder="1" applyAlignment="1">
      <alignment horizontal="center" vertical="center" shrinkToFit="1"/>
    </xf>
    <xf numFmtId="0" fontId="18" fillId="0" borderId="1" xfId="0" applyFont="1" applyBorder="1" applyAlignment="1">
      <alignment horizontal="center" vertical="center" wrapText="1"/>
    </xf>
    <xf numFmtId="2" fontId="19" fillId="0" borderId="1" xfId="0" applyNumberFormat="1" applyFont="1" applyBorder="1" applyAlignment="1">
      <alignment horizontal="right" vertical="center" shrinkToFit="1"/>
    </xf>
    <xf numFmtId="2" fontId="7" fillId="0" borderId="2" xfId="0" applyNumberFormat="1" applyFont="1" applyBorder="1" applyAlignment="1">
      <alignment horizontal="right" vertical="center" shrinkToFit="1"/>
    </xf>
    <xf numFmtId="1" fontId="7" fillId="0" borderId="2" xfId="0" applyNumberFormat="1" applyFont="1" applyBorder="1" applyAlignment="1">
      <alignment horizontal="center" vertical="center" shrinkToFit="1"/>
    </xf>
    <xf numFmtId="0" fontId="14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2" fontId="10" fillId="0" borderId="1" xfId="0" applyNumberFormat="1" applyFont="1" applyBorder="1" applyAlignment="1">
      <alignment horizontal="right" vertical="center" shrinkToFit="1"/>
    </xf>
    <xf numFmtId="1" fontId="10" fillId="0" borderId="1" xfId="0" applyNumberFormat="1" applyFont="1" applyBorder="1" applyAlignment="1">
      <alignment horizontal="center" vertical="center" shrinkToFit="1"/>
    </xf>
    <xf numFmtId="2" fontId="18" fillId="0" borderId="2" xfId="0" applyNumberFormat="1" applyFont="1" applyBorder="1" applyAlignment="1">
      <alignment horizontal="right" vertical="center" shrinkToFit="1"/>
    </xf>
    <xf numFmtId="1" fontId="18" fillId="0" borderId="2" xfId="0" applyNumberFormat="1" applyFont="1" applyBorder="1" applyAlignment="1">
      <alignment horizontal="center" vertical="center" shrinkToFit="1"/>
    </xf>
    <xf numFmtId="2" fontId="9" fillId="0" borderId="1" xfId="0" applyNumberFormat="1" applyFont="1" applyBorder="1" applyAlignment="1">
      <alignment horizontal="right" vertical="center" wrapText="1"/>
    </xf>
    <xf numFmtId="0" fontId="18" fillId="0" borderId="1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0" fillId="0" borderId="19" xfId="0" applyFont="1" applyBorder="1" applyAlignment="1">
      <alignment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right" vertical="center" wrapText="1"/>
    </xf>
    <xf numFmtId="0" fontId="9" fillId="0" borderId="8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right" vertical="center" wrapText="1"/>
    </xf>
    <xf numFmtId="0" fontId="9" fillId="0" borderId="19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9" fillId="0" borderId="19" xfId="0" applyFont="1" applyBorder="1" applyAlignment="1">
      <alignment horizontal="left" vertical="center" wrapText="1"/>
    </xf>
    <xf numFmtId="0" fontId="47" fillId="0" borderId="0" xfId="0" applyFont="1" applyAlignment="1">
      <alignment horizontal="left" vertical="center"/>
    </xf>
    <xf numFmtId="4" fontId="9" fillId="0" borderId="26" xfId="0" applyNumberFormat="1" applyFont="1" applyBorder="1" applyAlignment="1">
      <alignment horizontal="right" vertical="center"/>
    </xf>
    <xf numFmtId="0" fontId="9" fillId="0" borderId="13" xfId="0" applyFont="1" applyBorder="1" applyAlignment="1">
      <alignment horizontal="left" vertical="center" wrapText="1"/>
    </xf>
    <xf numFmtId="2" fontId="18" fillId="0" borderId="3" xfId="0" applyNumberFormat="1" applyFont="1" applyBorder="1" applyAlignment="1">
      <alignment horizontal="right" vertical="center" shrinkToFit="1"/>
    </xf>
    <xf numFmtId="2" fontId="15" fillId="0" borderId="3" xfId="0" applyNumberFormat="1" applyFont="1" applyBorder="1" applyAlignment="1">
      <alignment horizontal="right" vertical="center" shrinkToFit="1"/>
    </xf>
    <xf numFmtId="1" fontId="12" fillId="0" borderId="3" xfId="0" applyNumberFormat="1" applyFont="1" applyBorder="1" applyAlignment="1">
      <alignment horizontal="center" vertical="center" shrinkToFit="1"/>
    </xf>
    <xf numFmtId="0" fontId="10" fillId="0" borderId="13" xfId="0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shrinkToFit="1"/>
    </xf>
    <xf numFmtId="0" fontId="12" fillId="0" borderId="2" xfId="0" applyFont="1" applyBorder="1" applyAlignment="1">
      <alignment horizontal="center" vertical="center" wrapText="1"/>
    </xf>
    <xf numFmtId="164" fontId="12" fillId="0" borderId="3" xfId="0" applyNumberFormat="1" applyFont="1" applyBorder="1" applyAlignment="1">
      <alignment horizontal="center" vertical="center" shrinkToFit="1"/>
    </xf>
    <xf numFmtId="0" fontId="12" fillId="0" borderId="3" xfId="0" applyFont="1" applyBorder="1" applyAlignment="1">
      <alignment horizontal="center" vertical="center" wrapText="1"/>
    </xf>
    <xf numFmtId="2" fontId="9" fillId="0" borderId="2" xfId="0" applyNumberFormat="1" applyFont="1" applyBorder="1" applyAlignment="1">
      <alignment horizontal="right" vertical="center" wrapText="1"/>
    </xf>
    <xf numFmtId="2" fontId="12" fillId="0" borderId="24" xfId="0" applyNumberFormat="1" applyFont="1" applyBorder="1" applyAlignment="1">
      <alignment horizontal="right" vertical="center" shrinkToFit="1"/>
    </xf>
    <xf numFmtId="0" fontId="10" fillId="0" borderId="25" xfId="0" applyFont="1" applyBorder="1" applyAlignment="1">
      <alignment horizontal="center" vertical="center" wrapText="1"/>
    </xf>
    <xf numFmtId="0" fontId="10" fillId="0" borderId="13" xfId="0" applyFont="1" applyBorder="1" applyAlignment="1">
      <alignment vertical="center" wrapText="1"/>
    </xf>
    <xf numFmtId="2" fontId="9" fillId="0" borderId="2" xfId="0" applyNumberFormat="1" applyFont="1" applyBorder="1" applyAlignment="1">
      <alignment horizontal="right" vertical="center" shrinkToFit="1"/>
    </xf>
    <xf numFmtId="3" fontId="9" fillId="0" borderId="0" xfId="0" applyNumberFormat="1" applyFont="1" applyAlignment="1">
      <alignment horizontal="center" vertical="center"/>
    </xf>
    <xf numFmtId="4" fontId="9" fillId="0" borderId="0" xfId="0" applyNumberFormat="1" applyFont="1" applyAlignment="1">
      <alignment horizontal="left" vertical="center"/>
    </xf>
    <xf numFmtId="166" fontId="9" fillId="0" borderId="0" xfId="0" applyNumberFormat="1" applyFont="1" applyAlignment="1">
      <alignment horizontal="left" vertical="center"/>
    </xf>
    <xf numFmtId="0" fontId="8" fillId="0" borderId="0" xfId="0" applyFont="1" applyAlignment="1">
      <alignment horizontal="right" vertical="center"/>
    </xf>
    <xf numFmtId="3" fontId="8" fillId="0" borderId="0" xfId="0" applyNumberFormat="1" applyFont="1" applyAlignment="1">
      <alignment horizontal="center" vertical="center"/>
    </xf>
    <xf numFmtId="9" fontId="8" fillId="0" borderId="0" xfId="0" applyNumberFormat="1" applyFont="1" applyAlignment="1">
      <alignment horizontal="center" vertical="center"/>
    </xf>
    <xf numFmtId="4" fontId="8" fillId="0" borderId="0" xfId="0" applyNumberFormat="1" applyFont="1" applyAlignment="1">
      <alignment horizontal="left" vertical="center"/>
    </xf>
    <xf numFmtId="0" fontId="9" fillId="0" borderId="26" xfId="0" applyFont="1" applyBorder="1" applyAlignment="1">
      <alignment horizontal="left" vertical="center"/>
    </xf>
    <xf numFmtId="166" fontId="9" fillId="0" borderId="26" xfId="0" applyNumberFormat="1" applyFont="1" applyBorder="1" applyAlignment="1">
      <alignment horizontal="right" vertical="center"/>
    </xf>
    <xf numFmtId="166" fontId="9" fillId="0" borderId="26" xfId="0" applyNumberFormat="1" applyFont="1" applyBorder="1" applyAlignment="1">
      <alignment horizontal="center" vertical="center"/>
    </xf>
    <xf numFmtId="0" fontId="14" fillId="0" borderId="0" xfId="0" applyFont="1" applyAlignment="1">
      <alignment horizontal="center" vertical="center" wrapText="1"/>
    </xf>
    <xf numFmtId="0" fontId="49" fillId="0" borderId="26" xfId="0" applyFont="1" applyBorder="1" applyAlignment="1">
      <alignment horizontal="left" vertical="center"/>
    </xf>
    <xf numFmtId="166" fontId="49" fillId="0" borderId="26" xfId="0" applyNumberFormat="1" applyFont="1" applyBorder="1" applyAlignment="1">
      <alignment horizontal="right" vertical="center"/>
    </xf>
    <xf numFmtId="166" fontId="49" fillId="0" borderId="26" xfId="0" applyNumberFormat="1" applyFont="1" applyBorder="1" applyAlignment="1">
      <alignment horizontal="center" vertical="center"/>
    </xf>
    <xf numFmtId="0" fontId="50" fillId="0" borderId="0" xfId="0" applyFont="1" applyAlignment="1">
      <alignment horizontal="center" vertical="center" wrapText="1"/>
    </xf>
    <xf numFmtId="0" fontId="51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13" fillId="0" borderId="0" xfId="0" applyFont="1" applyAlignment="1">
      <alignment horizontal="left" vertical="center" wrapText="1"/>
    </xf>
    <xf numFmtId="3" fontId="9" fillId="0" borderId="0" xfId="0" applyNumberFormat="1" applyFont="1" applyAlignment="1">
      <alignment horizontal="left" vertical="center" wrapText="1"/>
    </xf>
    <xf numFmtId="4" fontId="9" fillId="0" borderId="0" xfId="0" applyNumberFormat="1" applyFont="1" applyAlignment="1">
      <alignment horizontal="left" vertical="center" wrapText="1"/>
    </xf>
    <xf numFmtId="0" fontId="8" fillId="0" borderId="26" xfId="0" applyFont="1" applyBorder="1" applyAlignment="1">
      <alignment horizontal="left" vertical="center"/>
    </xf>
    <xf numFmtId="0" fontId="14" fillId="0" borderId="26" xfId="0" applyFont="1" applyBorder="1" applyAlignment="1">
      <alignment horizontal="center" vertical="center" wrapText="1"/>
    </xf>
    <xf numFmtId="3" fontId="8" fillId="0" borderId="26" xfId="0" applyNumberFormat="1" applyFont="1" applyBorder="1" applyAlignment="1">
      <alignment horizontal="center" vertical="center" wrapText="1"/>
    </xf>
    <xf numFmtId="0" fontId="9" fillId="0" borderId="26" xfId="0" applyFont="1" applyBorder="1" applyAlignment="1">
      <alignment horizontal="center" vertical="center" wrapText="1"/>
    </xf>
    <xf numFmtId="4" fontId="8" fillId="0" borderId="26" xfId="0" applyNumberFormat="1" applyFont="1" applyBorder="1" applyAlignment="1">
      <alignment horizontal="center" vertical="center"/>
    </xf>
    <xf numFmtId="166" fontId="8" fillId="0" borderId="26" xfId="0" applyNumberFormat="1" applyFont="1" applyBorder="1" applyAlignment="1">
      <alignment horizontal="center" vertical="center"/>
    </xf>
    <xf numFmtId="0" fontId="8" fillId="0" borderId="29" xfId="0" applyFont="1" applyBorder="1" applyAlignment="1">
      <alignment horizontal="center" vertical="center"/>
    </xf>
    <xf numFmtId="0" fontId="10" fillId="0" borderId="26" xfId="0" applyFont="1" applyBorder="1" applyAlignment="1">
      <alignment horizontal="left" vertical="center" wrapText="1"/>
    </xf>
    <xf numFmtId="2" fontId="12" fillId="0" borderId="26" xfId="0" applyNumberFormat="1" applyFont="1" applyBorder="1" applyAlignment="1">
      <alignment horizontal="right" vertical="center" shrinkToFit="1"/>
    </xf>
    <xf numFmtId="3" fontId="9" fillId="0" borderId="26" xfId="0" applyNumberFormat="1" applyFont="1" applyBorder="1" applyAlignment="1">
      <alignment horizontal="center" vertical="center" wrapText="1"/>
    </xf>
    <xf numFmtId="4" fontId="9" fillId="0" borderId="26" xfId="0" applyNumberFormat="1" applyFont="1" applyBorder="1" applyAlignment="1">
      <alignment horizontal="left" vertical="center"/>
    </xf>
    <xf numFmtId="166" fontId="9" fillId="0" borderId="26" xfId="0" applyNumberFormat="1" applyFont="1" applyBorder="1" applyAlignment="1">
      <alignment horizontal="left" vertical="center"/>
    </xf>
    <xf numFmtId="2" fontId="18" fillId="0" borderId="26" xfId="0" applyNumberFormat="1" applyFont="1" applyBorder="1" applyAlignment="1">
      <alignment horizontal="right" vertical="center" shrinkToFit="1"/>
    </xf>
    <xf numFmtId="0" fontId="19" fillId="0" borderId="26" xfId="0" applyFont="1" applyBorder="1" applyAlignment="1">
      <alignment horizontal="center" vertical="center" wrapText="1"/>
    </xf>
    <xf numFmtId="2" fontId="11" fillId="0" borderId="26" xfId="0" applyNumberFormat="1" applyFont="1" applyBorder="1" applyAlignment="1">
      <alignment vertical="center" shrinkToFit="1"/>
    </xf>
    <xf numFmtId="0" fontId="9" fillId="0" borderId="26" xfId="0" applyFont="1" applyBorder="1" applyAlignment="1">
      <alignment horizontal="left" vertical="center" wrapText="1"/>
    </xf>
    <xf numFmtId="2" fontId="11" fillId="0" borderId="26" xfId="0" applyNumberFormat="1" applyFont="1" applyBorder="1" applyAlignment="1">
      <alignment horizontal="right" vertical="center" shrinkToFit="1"/>
    </xf>
    <xf numFmtId="3" fontId="11" fillId="0" borderId="26" xfId="0" applyNumberFormat="1" applyFont="1" applyBorder="1" applyAlignment="1">
      <alignment horizontal="center" vertical="center" shrinkToFit="1"/>
    </xf>
    <xf numFmtId="2" fontId="15" fillId="0" borderId="26" xfId="0" applyNumberFormat="1" applyFont="1" applyBorder="1" applyAlignment="1">
      <alignment horizontal="right" vertical="center" shrinkToFit="1"/>
    </xf>
    <xf numFmtId="0" fontId="31" fillId="0" borderId="26" xfId="0" applyFont="1" applyBorder="1" applyAlignment="1">
      <alignment horizontal="center" vertical="center" wrapText="1"/>
    </xf>
    <xf numFmtId="2" fontId="31" fillId="0" borderId="26" xfId="0" applyNumberFormat="1" applyFont="1" applyBorder="1" applyAlignment="1">
      <alignment horizontal="right" vertical="center" shrinkToFit="1"/>
    </xf>
    <xf numFmtId="0" fontId="11" fillId="0" borderId="26" xfId="0" applyFont="1" applyBorder="1" applyAlignment="1">
      <alignment horizontal="center" vertical="center" wrapText="1"/>
    </xf>
    <xf numFmtId="3" fontId="12" fillId="0" borderId="26" xfId="0" applyNumberFormat="1" applyFont="1" applyBorder="1" applyAlignment="1">
      <alignment horizontal="center" vertical="center" shrinkToFit="1"/>
    </xf>
    <xf numFmtId="0" fontId="7" fillId="0" borderId="26" xfId="0" applyFont="1" applyBorder="1" applyAlignment="1">
      <alignment horizontal="left" vertical="center" wrapText="1"/>
    </xf>
    <xf numFmtId="0" fontId="12" fillId="0" borderId="26" xfId="0" applyFont="1" applyBorder="1" applyAlignment="1">
      <alignment horizontal="center" vertical="center" wrapText="1"/>
    </xf>
    <xf numFmtId="3" fontId="10" fillId="0" borderId="26" xfId="0" applyNumberFormat="1" applyFont="1" applyBorder="1" applyAlignment="1">
      <alignment horizontal="center" vertical="center" wrapText="1"/>
    </xf>
    <xf numFmtId="0" fontId="10" fillId="0" borderId="26" xfId="0" applyFont="1" applyBorder="1" applyAlignment="1">
      <alignment vertical="center" wrapText="1"/>
    </xf>
    <xf numFmtId="2" fontId="37" fillId="0" borderId="26" xfId="0" applyNumberFormat="1" applyFont="1" applyBorder="1" applyAlignment="1">
      <alignment vertical="center" shrinkToFit="1"/>
    </xf>
    <xf numFmtId="0" fontId="11" fillId="0" borderId="26" xfId="0" applyFont="1" applyBorder="1" applyAlignment="1">
      <alignment horizontal="left" vertical="center" wrapText="1"/>
    </xf>
    <xf numFmtId="0" fontId="12" fillId="0" borderId="26" xfId="0" applyFont="1" applyBorder="1" applyAlignment="1">
      <alignment horizontal="left" vertical="center" wrapText="1"/>
    </xf>
    <xf numFmtId="0" fontId="7" fillId="0" borderId="26" xfId="0" applyFont="1" applyBorder="1" applyAlignment="1">
      <alignment horizontal="center" vertical="center" wrapText="1"/>
    </xf>
    <xf numFmtId="2" fontId="9" fillId="0" borderId="26" xfId="0" applyNumberFormat="1" applyFont="1" applyBorder="1" applyAlignment="1">
      <alignment horizontal="right" vertical="center" shrinkToFit="1"/>
    </xf>
    <xf numFmtId="3" fontId="9" fillId="0" borderId="26" xfId="0" applyNumberFormat="1" applyFont="1" applyBorder="1" applyAlignment="1">
      <alignment horizontal="center" vertical="center" shrinkToFit="1"/>
    </xf>
    <xf numFmtId="3" fontId="18" fillId="0" borderId="26" xfId="0" applyNumberFormat="1" applyFont="1" applyBorder="1" applyAlignment="1">
      <alignment horizontal="center" vertical="center" shrinkToFit="1"/>
    </xf>
    <xf numFmtId="3" fontId="19" fillId="0" borderId="26" xfId="0" applyNumberFormat="1" applyFont="1" applyBorder="1" applyAlignment="1">
      <alignment horizontal="center" vertical="center" shrinkToFit="1"/>
    </xf>
    <xf numFmtId="0" fontId="18" fillId="0" borderId="26" xfId="0" applyFont="1" applyBorder="1" applyAlignment="1">
      <alignment horizontal="center" vertical="center" wrapText="1"/>
    </xf>
    <xf numFmtId="2" fontId="19" fillId="0" borderId="26" xfId="0" applyNumberFormat="1" applyFont="1" applyBorder="1" applyAlignment="1">
      <alignment horizontal="right" vertical="center" shrinkToFit="1"/>
    </xf>
    <xf numFmtId="2" fontId="9" fillId="0" borderId="26" xfId="0" applyNumberFormat="1" applyFont="1" applyBorder="1" applyAlignment="1">
      <alignment horizontal="right" vertical="center" wrapText="1"/>
    </xf>
    <xf numFmtId="0" fontId="9" fillId="0" borderId="26" xfId="0" applyFont="1" applyBorder="1" applyAlignment="1">
      <alignment vertical="center" wrapText="1"/>
    </xf>
    <xf numFmtId="0" fontId="18" fillId="0" borderId="26" xfId="0" applyFont="1" applyBorder="1" applyAlignment="1">
      <alignment horizontal="left" vertical="center" wrapText="1"/>
    </xf>
    <xf numFmtId="0" fontId="15" fillId="0" borderId="26" xfId="0" applyFont="1" applyBorder="1" applyAlignment="1">
      <alignment horizontal="center" vertical="center" wrapText="1"/>
    </xf>
    <xf numFmtId="0" fontId="9" fillId="0" borderId="26" xfId="0" applyFont="1" applyBorder="1" applyAlignment="1">
      <alignment horizontal="right" vertical="center" wrapText="1"/>
    </xf>
    <xf numFmtId="0" fontId="9" fillId="0" borderId="26" xfId="0" applyFont="1" applyBorder="1" applyAlignment="1">
      <alignment horizontal="right" vertical="center"/>
    </xf>
    <xf numFmtId="3" fontId="9" fillId="0" borderId="26" xfId="0" applyNumberFormat="1" applyFont="1" applyBorder="1" applyAlignment="1">
      <alignment horizontal="center" vertical="center"/>
    </xf>
    <xf numFmtId="166" fontId="9" fillId="0" borderId="27" xfId="0" applyNumberFormat="1" applyFont="1" applyBorder="1" applyAlignment="1">
      <alignment horizontal="left" vertical="center"/>
    </xf>
    <xf numFmtId="0" fontId="47" fillId="0" borderId="27" xfId="0" applyFont="1" applyBorder="1" applyAlignment="1">
      <alignment horizontal="left" vertical="center"/>
    </xf>
    <xf numFmtId="166" fontId="9" fillId="0" borderId="30" xfId="0" applyNumberFormat="1" applyFont="1" applyBorder="1" applyAlignment="1">
      <alignment horizontal="left" vertical="center"/>
    </xf>
    <xf numFmtId="166" fontId="9" fillId="0" borderId="30" xfId="0" applyNumberFormat="1" applyFont="1" applyBorder="1" applyAlignment="1">
      <alignment horizontal="right" vertical="center"/>
    </xf>
    <xf numFmtId="166" fontId="9" fillId="0" borderId="30" xfId="0" applyNumberFormat="1" applyFont="1" applyBorder="1" applyAlignment="1">
      <alignment horizontal="center" vertical="center"/>
    </xf>
    <xf numFmtId="166" fontId="9" fillId="0" borderId="28" xfId="0" applyNumberFormat="1" applyFont="1" applyBorder="1" applyAlignment="1">
      <alignment horizontal="left" vertical="center"/>
    </xf>
    <xf numFmtId="166" fontId="13" fillId="0" borderId="29" xfId="0" applyNumberFormat="1" applyFont="1" applyBorder="1" applyAlignment="1">
      <alignment horizontal="left" vertical="center" wrapText="1"/>
    </xf>
    <xf numFmtId="166" fontId="9" fillId="0" borderId="29" xfId="0" applyNumberFormat="1" applyFont="1" applyBorder="1" applyAlignment="1">
      <alignment horizontal="left" vertical="center" wrapText="1"/>
    </xf>
    <xf numFmtId="166" fontId="9" fillId="0" borderId="29" xfId="0" applyNumberFormat="1" applyFont="1" applyBorder="1" applyAlignment="1">
      <alignment horizontal="left" vertical="center"/>
    </xf>
    <xf numFmtId="166" fontId="8" fillId="0" borderId="26" xfId="0" applyNumberFormat="1" applyFont="1" applyBorder="1" applyAlignment="1">
      <alignment horizontal="left" vertical="center"/>
    </xf>
    <xf numFmtId="166" fontId="14" fillId="0" borderId="26" xfId="0" applyNumberFormat="1" applyFont="1" applyBorder="1" applyAlignment="1">
      <alignment horizontal="center" vertical="center" wrapText="1"/>
    </xf>
    <xf numFmtId="166" fontId="8" fillId="0" borderId="26" xfId="0" applyNumberFormat="1" applyFont="1" applyBorder="1" applyAlignment="1">
      <alignment horizontal="center" vertical="center" wrapText="1"/>
    </xf>
    <xf numFmtId="166" fontId="9" fillId="0" borderId="26" xfId="0" applyNumberFormat="1" applyFont="1" applyBorder="1" applyAlignment="1">
      <alignment horizontal="center" vertical="center" wrapText="1"/>
    </xf>
    <xf numFmtId="166" fontId="10" fillId="0" borderId="26" xfId="0" applyNumberFormat="1" applyFont="1" applyBorder="1" applyAlignment="1">
      <alignment horizontal="left" vertical="center" wrapText="1"/>
    </xf>
    <xf numFmtId="166" fontId="9" fillId="0" borderId="26" xfId="0" applyNumberFormat="1" applyFont="1" applyBorder="1" applyAlignment="1">
      <alignment horizontal="right" vertical="center" wrapText="1"/>
    </xf>
    <xf numFmtId="166" fontId="9" fillId="0" borderId="26" xfId="0" applyNumberFormat="1" applyFont="1" applyBorder="1" applyAlignment="1">
      <alignment horizontal="left" vertical="center" wrapText="1"/>
    </xf>
    <xf numFmtId="166" fontId="10" fillId="0" borderId="26" xfId="0" applyNumberFormat="1" applyFont="1" applyBorder="1" applyAlignment="1">
      <alignment horizontal="center" vertical="center" wrapText="1"/>
    </xf>
    <xf numFmtId="166" fontId="15" fillId="0" borderId="26" xfId="0" applyNumberFormat="1" applyFont="1" applyBorder="1" applyAlignment="1">
      <alignment horizontal="right" vertical="center" shrinkToFit="1"/>
    </xf>
    <xf numFmtId="166" fontId="11" fillId="0" borderId="26" xfId="0" applyNumberFormat="1" applyFont="1" applyBorder="1" applyAlignment="1">
      <alignment horizontal="center" vertical="center" shrinkToFit="1"/>
    </xf>
    <xf numFmtId="166" fontId="11" fillId="0" borderId="26" xfId="0" applyNumberFormat="1" applyFont="1" applyBorder="1" applyAlignment="1">
      <alignment horizontal="center" vertical="center" wrapText="1"/>
    </xf>
    <xf numFmtId="166" fontId="11" fillId="0" borderId="26" xfId="0" applyNumberFormat="1" applyFont="1" applyBorder="1" applyAlignment="1">
      <alignment horizontal="right" vertical="center" shrinkToFit="1"/>
    </xf>
    <xf numFmtId="166" fontId="11" fillId="0" borderId="26" xfId="0" applyNumberFormat="1" applyFont="1" applyBorder="1" applyAlignment="1">
      <alignment vertical="center" shrinkToFit="1"/>
    </xf>
    <xf numFmtId="166" fontId="11" fillId="0" borderId="26" xfId="0" applyNumberFormat="1" applyFont="1" applyBorder="1" applyAlignment="1">
      <alignment horizontal="left" vertical="center" wrapText="1"/>
    </xf>
    <xf numFmtId="166" fontId="31" fillId="0" borderId="26" xfId="0" applyNumberFormat="1" applyFont="1" applyBorder="1" applyAlignment="1">
      <alignment horizontal="center" vertical="center" wrapText="1"/>
    </xf>
    <xf numFmtId="166" fontId="31" fillId="0" borderId="26" xfId="0" applyNumberFormat="1" applyFont="1" applyBorder="1" applyAlignment="1">
      <alignment horizontal="right" vertical="center" shrinkToFit="1"/>
    </xf>
    <xf numFmtId="166" fontId="12" fillId="0" borderId="26" xfId="0" applyNumberFormat="1" applyFont="1" applyBorder="1" applyAlignment="1">
      <alignment horizontal="right" vertical="center" shrinkToFit="1"/>
    </xf>
    <xf numFmtId="166" fontId="12" fillId="0" borderId="26" xfId="0" applyNumberFormat="1" applyFont="1" applyBorder="1" applyAlignment="1">
      <alignment horizontal="center" vertical="center" shrinkToFit="1"/>
    </xf>
    <xf numFmtId="166" fontId="12" fillId="0" borderId="26" xfId="0" applyNumberFormat="1" applyFont="1" applyBorder="1" applyAlignment="1">
      <alignment horizontal="center" vertical="center" wrapText="1"/>
    </xf>
    <xf numFmtId="166" fontId="7" fillId="0" borderId="26" xfId="0" applyNumberFormat="1" applyFont="1" applyBorder="1" applyAlignment="1">
      <alignment horizontal="left" vertical="center" wrapText="1"/>
    </xf>
    <xf numFmtId="166" fontId="18" fillId="0" borderId="26" xfId="0" applyNumberFormat="1" applyFont="1" applyBorder="1" applyAlignment="1">
      <alignment horizontal="right" vertical="center" shrinkToFit="1"/>
    </xf>
    <xf numFmtId="166" fontId="18" fillId="0" borderId="26" xfId="0" applyNumberFormat="1" applyFont="1" applyBorder="1" applyAlignment="1">
      <alignment horizontal="center" vertical="center" shrinkToFit="1"/>
    </xf>
    <xf numFmtId="166" fontId="18" fillId="0" borderId="26" xfId="0" applyNumberFormat="1" applyFont="1" applyBorder="1" applyAlignment="1">
      <alignment horizontal="center" vertical="center" wrapText="1"/>
    </xf>
    <xf numFmtId="166" fontId="19" fillId="0" borderId="26" xfId="0" applyNumberFormat="1" applyFont="1" applyBorder="1" applyAlignment="1">
      <alignment horizontal="center" vertical="center" shrinkToFit="1"/>
    </xf>
    <xf numFmtId="166" fontId="19" fillId="0" borderId="26" xfId="0" applyNumberFormat="1" applyFont="1" applyBorder="1" applyAlignment="1">
      <alignment horizontal="right" vertical="center" shrinkToFit="1"/>
    </xf>
    <xf numFmtId="166" fontId="18" fillId="0" borderId="26" xfId="0" applyNumberFormat="1" applyFont="1" applyBorder="1" applyAlignment="1">
      <alignment horizontal="left" vertical="center" wrapText="1"/>
    </xf>
    <xf numFmtId="166" fontId="7" fillId="0" borderId="26" xfId="0" applyNumberFormat="1" applyFont="1" applyBorder="1" applyAlignment="1">
      <alignment horizontal="center" vertical="center" wrapText="1"/>
    </xf>
    <xf numFmtId="166" fontId="19" fillId="0" borderId="26" xfId="0" applyNumberFormat="1" applyFont="1" applyBorder="1" applyAlignment="1">
      <alignment horizontal="center" vertical="center" wrapText="1"/>
    </xf>
    <xf numFmtId="166" fontId="9" fillId="0" borderId="26" xfId="0" applyNumberFormat="1" applyFont="1" applyBorder="1" applyAlignment="1">
      <alignment horizontal="right" vertical="center" shrinkToFit="1"/>
    </xf>
    <xf numFmtId="166" fontId="9" fillId="0" borderId="26" xfId="0" applyNumberFormat="1" applyFont="1" applyBorder="1" applyAlignment="1">
      <alignment horizontal="center" vertical="center" shrinkToFit="1"/>
    </xf>
    <xf numFmtId="166" fontId="15" fillId="0" borderId="26" xfId="0" applyNumberFormat="1" applyFont="1" applyBorder="1" applyAlignment="1">
      <alignment horizontal="center" vertical="center" wrapText="1"/>
    </xf>
    <xf numFmtId="166" fontId="9" fillId="0" borderId="26" xfId="0" applyNumberFormat="1" applyFont="1" applyBorder="1" applyAlignment="1">
      <alignment vertical="center" wrapText="1"/>
    </xf>
    <xf numFmtId="166" fontId="10" fillId="0" borderId="26" xfId="0" applyNumberFormat="1" applyFont="1" applyBorder="1" applyAlignment="1">
      <alignment vertical="center" wrapText="1"/>
    </xf>
    <xf numFmtId="166" fontId="12" fillId="0" borderId="26" xfId="0" applyNumberFormat="1" applyFont="1" applyBorder="1" applyAlignment="1">
      <alignment horizontal="left" vertical="center" wrapText="1"/>
    </xf>
    <xf numFmtId="166" fontId="37" fillId="0" borderId="26" xfId="0" applyNumberFormat="1" applyFont="1" applyBorder="1" applyAlignment="1">
      <alignment vertical="center" shrinkToFit="1"/>
    </xf>
    <xf numFmtId="0" fontId="2" fillId="0" borderId="26" xfId="1" applyBorder="1"/>
    <xf numFmtId="4" fontId="2" fillId="0" borderId="26" xfId="1" applyNumberFormat="1" applyBorder="1"/>
    <xf numFmtId="4" fontId="2" fillId="0" borderId="26" xfId="1" applyNumberFormat="1" applyBorder="1" applyAlignment="1">
      <alignment horizontal="left"/>
    </xf>
    <xf numFmtId="4" fontId="5" fillId="0" borderId="31" xfId="1" applyNumberFormat="1" applyFont="1" applyBorder="1"/>
    <xf numFmtId="4" fontId="5" fillId="0" borderId="32" xfId="1" applyNumberFormat="1" applyFont="1" applyBorder="1"/>
  </cellXfs>
  <cellStyles count="2">
    <cellStyle name="Normální" xfId="0" builtinId="0"/>
    <cellStyle name="Normální 2" xfId="1" xr:uid="{0E35C500-A397-41E4-BA74-6FAEFA235D54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C53387-367E-45A4-893A-82C0A97CF0CA}">
  <sheetPr>
    <pageSetUpPr fitToPage="1"/>
  </sheetPr>
  <dimension ref="A1:N654"/>
  <sheetViews>
    <sheetView tabSelected="1" view="pageBreakPreview" zoomScale="85" zoomScaleNormal="100" zoomScaleSheetLayoutView="85" workbookViewId="0">
      <selection activeCell="Q17" sqref="Q17"/>
    </sheetView>
  </sheetViews>
  <sheetFormatPr defaultRowHeight="15" x14ac:dyDescent="0.2"/>
  <cols>
    <col min="1" max="3" width="9.33203125" style="6"/>
    <col min="4" max="4" width="8.83203125" style="7" customWidth="1"/>
    <col min="5" max="5" width="40.83203125" style="6" customWidth="1"/>
    <col min="6" max="6" width="12.83203125" style="8" customWidth="1"/>
    <col min="7" max="8" width="12.83203125" style="7" customWidth="1"/>
    <col min="9" max="9" width="20.83203125" style="7" customWidth="1"/>
    <col min="10" max="10" width="12.83203125" style="7" customWidth="1"/>
    <col min="11" max="11" width="24.83203125" style="7" customWidth="1"/>
    <col min="12" max="12" width="2.1640625" style="6" customWidth="1"/>
    <col min="13" max="16384" width="9.33203125" style="6"/>
  </cols>
  <sheetData>
    <row r="1" spans="4:7" ht="18.75" x14ac:dyDescent="0.2">
      <c r="D1" s="148" t="s">
        <v>261</v>
      </c>
    </row>
    <row r="2" spans="4:7" ht="18.75" x14ac:dyDescent="0.2">
      <c r="D2" s="148"/>
    </row>
    <row r="3" spans="4:7" x14ac:dyDescent="0.2">
      <c r="E3" s="9" t="s">
        <v>220</v>
      </c>
      <c r="F3" s="9" t="s">
        <v>221</v>
      </c>
      <c r="G3" s="9" t="s">
        <v>222</v>
      </c>
    </row>
    <row r="4" spans="4:7" x14ac:dyDescent="0.2">
      <c r="E4" s="10" t="s">
        <v>603</v>
      </c>
      <c r="F4" s="11">
        <f>SUM(F64:F99)</f>
        <v>1167.5</v>
      </c>
      <c r="G4" s="12" t="s">
        <v>219</v>
      </c>
    </row>
    <row r="5" spans="4:7" x14ac:dyDescent="0.2">
      <c r="E5" s="10" t="s">
        <v>604</v>
      </c>
      <c r="F5" s="11">
        <f>SUM(F394:F420)</f>
        <v>211.05</v>
      </c>
      <c r="G5" s="12" t="s">
        <v>219</v>
      </c>
    </row>
    <row r="6" spans="4:7" x14ac:dyDescent="0.2">
      <c r="E6" s="10" t="s">
        <v>605</v>
      </c>
      <c r="F6" s="11">
        <f>SUM(F448:F464)</f>
        <v>699.2</v>
      </c>
      <c r="G6" s="12" t="s">
        <v>219</v>
      </c>
    </row>
    <row r="7" spans="4:7" x14ac:dyDescent="0.2">
      <c r="E7" s="10" t="s">
        <v>606</v>
      </c>
      <c r="F7" s="11">
        <f>SUM(F465:F472)</f>
        <v>375.35</v>
      </c>
      <c r="G7" s="12" t="s">
        <v>219</v>
      </c>
    </row>
    <row r="8" spans="4:7" x14ac:dyDescent="0.2">
      <c r="E8" s="10" t="s">
        <v>77</v>
      </c>
      <c r="F8" s="11">
        <f>SUM(F473:F498)</f>
        <v>196.40000000000003</v>
      </c>
      <c r="G8" s="12" t="s">
        <v>219</v>
      </c>
    </row>
    <row r="9" spans="4:7" x14ac:dyDescent="0.2">
      <c r="E9" s="10" t="s">
        <v>57</v>
      </c>
      <c r="F9" s="11">
        <f>SUM(F499:F513)</f>
        <v>96.850000000000009</v>
      </c>
      <c r="G9" s="12" t="s">
        <v>219</v>
      </c>
    </row>
    <row r="10" spans="4:7" x14ac:dyDescent="0.2">
      <c r="E10" s="10" t="s">
        <v>56</v>
      </c>
      <c r="F10" s="11">
        <f>SUM(F514:F516)</f>
        <v>68.900000000000006</v>
      </c>
      <c r="G10" s="12" t="s">
        <v>219</v>
      </c>
    </row>
    <row r="11" spans="4:7" x14ac:dyDescent="0.2">
      <c r="E11" s="10" t="s">
        <v>67</v>
      </c>
      <c r="F11" s="11">
        <f>SUM(F517:F529)</f>
        <v>102.15</v>
      </c>
      <c r="G11" s="12" t="s">
        <v>219</v>
      </c>
    </row>
    <row r="12" spans="4:7" x14ac:dyDescent="0.2">
      <c r="E12" s="10" t="s">
        <v>64</v>
      </c>
      <c r="F12" s="11">
        <f>SUM(F530:F539)</f>
        <v>119.00000000000001</v>
      </c>
      <c r="G12" s="12" t="s">
        <v>219</v>
      </c>
    </row>
    <row r="13" spans="4:7" x14ac:dyDescent="0.2">
      <c r="E13" s="10" t="s">
        <v>29</v>
      </c>
      <c r="F13" s="11">
        <f>SUM(F540:F548)</f>
        <v>584.25</v>
      </c>
      <c r="G13" s="12" t="s">
        <v>219</v>
      </c>
    </row>
    <row r="14" spans="4:7" x14ac:dyDescent="0.2">
      <c r="E14" s="10" t="s">
        <v>50</v>
      </c>
      <c r="F14" s="11">
        <f>SUM(F549:F565)</f>
        <v>345.74999999999989</v>
      </c>
      <c r="G14" s="12" t="s">
        <v>219</v>
      </c>
    </row>
    <row r="15" spans="4:7" x14ac:dyDescent="0.2">
      <c r="E15" s="10" t="s">
        <v>248</v>
      </c>
      <c r="F15" s="11">
        <f>SUM(F566:F578)</f>
        <v>282.39999999999998</v>
      </c>
      <c r="G15" s="12" t="s">
        <v>219</v>
      </c>
    </row>
    <row r="16" spans="4:7" x14ac:dyDescent="0.2">
      <c r="E16" s="10" t="s">
        <v>258</v>
      </c>
      <c r="F16" s="11">
        <f>SUM(F100:F103)</f>
        <v>132.35</v>
      </c>
      <c r="G16" s="12" t="s">
        <v>219</v>
      </c>
    </row>
    <row r="17" spans="1:12" x14ac:dyDescent="0.2">
      <c r="E17" s="10" t="s">
        <v>259</v>
      </c>
      <c r="F17" s="11">
        <f>SUM(F104)</f>
        <v>121.5</v>
      </c>
      <c r="G17" s="12" t="s">
        <v>219</v>
      </c>
    </row>
    <row r="18" spans="1:12" x14ac:dyDescent="0.2">
      <c r="E18" s="10" t="s">
        <v>260</v>
      </c>
      <c r="F18" s="11">
        <f>SUM(F105)</f>
        <v>69.849999999999994</v>
      </c>
      <c r="G18" s="12" t="s">
        <v>219</v>
      </c>
    </row>
    <row r="19" spans="1:12" x14ac:dyDescent="0.2">
      <c r="E19" s="10" t="s">
        <v>225</v>
      </c>
      <c r="F19" s="11">
        <f>SUM(F106:F181)</f>
        <v>2570.1400000000017</v>
      </c>
      <c r="G19" s="12" t="s">
        <v>219</v>
      </c>
    </row>
    <row r="20" spans="1:12" x14ac:dyDescent="0.2">
      <c r="E20" s="10" t="s">
        <v>224</v>
      </c>
      <c r="F20" s="11">
        <f>SUM(F182:F273)</f>
        <v>624.01000000000022</v>
      </c>
      <c r="G20" s="12" t="s">
        <v>219</v>
      </c>
    </row>
    <row r="21" spans="1:12" x14ac:dyDescent="0.2">
      <c r="E21" s="10" t="s">
        <v>231</v>
      </c>
      <c r="F21" s="11">
        <f>SUM(F274:F300)</f>
        <v>146.13</v>
      </c>
      <c r="G21" s="12" t="s">
        <v>219</v>
      </c>
    </row>
    <row r="22" spans="1:12" x14ac:dyDescent="0.2">
      <c r="E22" s="10" t="s">
        <v>238</v>
      </c>
      <c r="F22" s="11">
        <f>SUM(F301:F378)</f>
        <v>2429.7800000000002</v>
      </c>
      <c r="G22" s="12" t="s">
        <v>219</v>
      </c>
    </row>
    <row r="23" spans="1:12" x14ac:dyDescent="0.2">
      <c r="E23" s="10" t="s">
        <v>226</v>
      </c>
      <c r="F23" s="11">
        <f>SUM(F379:F384)</f>
        <v>198.26000000000002</v>
      </c>
      <c r="G23" s="12" t="s">
        <v>219</v>
      </c>
    </row>
    <row r="24" spans="1:12" x14ac:dyDescent="0.2">
      <c r="E24" s="10" t="s">
        <v>227</v>
      </c>
      <c r="F24" s="11">
        <f>SUM(F385:F392)</f>
        <v>51.74</v>
      </c>
      <c r="G24" s="12" t="s">
        <v>219</v>
      </c>
    </row>
    <row r="25" spans="1:12" x14ac:dyDescent="0.2">
      <c r="E25" s="10" t="s">
        <v>230</v>
      </c>
      <c r="F25" s="11">
        <f>SUM(F393)</f>
        <v>3.67</v>
      </c>
      <c r="G25" s="12" t="s">
        <v>219</v>
      </c>
    </row>
    <row r="26" spans="1:12" x14ac:dyDescent="0.2">
      <c r="E26" s="10" t="s">
        <v>237</v>
      </c>
      <c r="F26" s="11">
        <f>SUM(F421:F428)</f>
        <v>196.52</v>
      </c>
      <c r="G26" s="12" t="s">
        <v>219</v>
      </c>
    </row>
    <row r="27" spans="1:12" x14ac:dyDescent="0.2">
      <c r="E27" s="10" t="s">
        <v>607</v>
      </c>
      <c r="F27" s="11">
        <f>SUM(F429:F438)</f>
        <v>56.05</v>
      </c>
      <c r="G27" s="12" t="s">
        <v>219</v>
      </c>
    </row>
    <row r="28" spans="1:12" x14ac:dyDescent="0.2">
      <c r="E28" s="10" t="s">
        <v>608</v>
      </c>
      <c r="F28" s="11">
        <f>SUM(F439:F443)</f>
        <v>51.150000000000006</v>
      </c>
      <c r="G28" s="12" t="s">
        <v>219</v>
      </c>
    </row>
    <row r="29" spans="1:12" x14ac:dyDescent="0.2">
      <c r="E29" s="10" t="s">
        <v>609</v>
      </c>
      <c r="F29" s="11">
        <f>SUM(F444:F447)</f>
        <v>102.8</v>
      </c>
      <c r="G29" s="12" t="s">
        <v>219</v>
      </c>
    </row>
    <row r="30" spans="1:12" ht="15.75" thickBot="1" x14ac:dyDescent="0.25"/>
    <row r="31" spans="1:12" ht="39.950000000000003" customHeight="1" thickBot="1" x14ac:dyDescent="0.25">
      <c r="A31" s="6">
        <v>1</v>
      </c>
      <c r="D31" s="13"/>
      <c r="E31" s="14"/>
      <c r="F31" s="14"/>
      <c r="G31" s="14"/>
      <c r="H31" s="14"/>
      <c r="I31" s="14"/>
      <c r="J31" s="14"/>
      <c r="K31" s="15"/>
      <c r="L31" s="16"/>
    </row>
    <row r="32" spans="1:12" s="17" customFormat="1" ht="12.75" customHeight="1" x14ac:dyDescent="0.2">
      <c r="A32" s="5">
        <v>2</v>
      </c>
      <c r="D32" s="18" t="s">
        <v>610</v>
      </c>
      <c r="E32" s="19" t="s">
        <v>611</v>
      </c>
      <c r="F32" s="19" t="s">
        <v>612</v>
      </c>
      <c r="G32" s="20" t="s">
        <v>613</v>
      </c>
      <c r="H32" s="21" t="s">
        <v>614</v>
      </c>
      <c r="I32" s="22"/>
      <c r="J32" s="22"/>
      <c r="K32" s="23" t="s">
        <v>0</v>
      </c>
    </row>
    <row r="33" spans="1:14" s="17" customFormat="1" ht="12.75" customHeight="1" thickBot="1" x14ac:dyDescent="0.25">
      <c r="A33" s="5">
        <v>3</v>
      </c>
      <c r="D33" s="24"/>
      <c r="E33" s="25"/>
      <c r="F33" s="25"/>
      <c r="G33" s="26"/>
      <c r="H33" s="27" t="s">
        <v>615</v>
      </c>
      <c r="I33" s="27" t="s">
        <v>616</v>
      </c>
      <c r="J33" s="28" t="s">
        <v>617</v>
      </c>
      <c r="K33" s="29"/>
    </row>
    <row r="34" spans="1:14" ht="24.95" customHeight="1" x14ac:dyDescent="0.2">
      <c r="A34" s="5">
        <v>110</v>
      </c>
      <c r="B34" s="6" t="s">
        <v>116</v>
      </c>
      <c r="C34" s="6" t="s">
        <v>112</v>
      </c>
      <c r="D34" s="30" t="s">
        <v>618</v>
      </c>
      <c r="E34" s="31" t="s">
        <v>619</v>
      </c>
      <c r="F34" s="32">
        <v>6.15</v>
      </c>
      <c r="G34" s="33" t="s">
        <v>9</v>
      </c>
      <c r="H34" s="33" t="s">
        <v>9</v>
      </c>
      <c r="I34" s="34" t="s">
        <v>8</v>
      </c>
      <c r="J34" s="33"/>
      <c r="K34" s="35"/>
      <c r="N34" s="36" t="s">
        <v>603</v>
      </c>
    </row>
    <row r="35" spans="1:14" ht="24.95" customHeight="1" x14ac:dyDescent="0.2">
      <c r="A35" s="5">
        <v>111</v>
      </c>
      <c r="B35" s="6" t="s">
        <v>116</v>
      </c>
      <c r="C35" s="6" t="s">
        <v>112</v>
      </c>
      <c r="D35" s="37" t="s">
        <v>620</v>
      </c>
      <c r="E35" s="38" t="s">
        <v>621</v>
      </c>
      <c r="F35" s="39">
        <v>4.5</v>
      </c>
      <c r="G35" s="40" t="s">
        <v>9</v>
      </c>
      <c r="H35" s="40" t="s">
        <v>9</v>
      </c>
      <c r="I35" s="36" t="s">
        <v>8</v>
      </c>
      <c r="J35" s="40"/>
      <c r="K35" s="41"/>
      <c r="N35" s="36" t="s">
        <v>604</v>
      </c>
    </row>
    <row r="36" spans="1:14" ht="24.95" customHeight="1" x14ac:dyDescent="0.2">
      <c r="A36" s="6">
        <v>139</v>
      </c>
      <c r="B36" s="6" t="s">
        <v>116</v>
      </c>
      <c r="C36" s="6" t="s">
        <v>112</v>
      </c>
      <c r="D36" s="37" t="s">
        <v>622</v>
      </c>
      <c r="E36" s="38" t="s">
        <v>623</v>
      </c>
      <c r="F36" s="39">
        <v>2.6</v>
      </c>
      <c r="G36" s="40"/>
      <c r="H36" s="40" t="s">
        <v>9</v>
      </c>
      <c r="I36" s="36" t="s">
        <v>47</v>
      </c>
      <c r="J36" s="40" t="s">
        <v>9</v>
      </c>
      <c r="K36" s="41"/>
      <c r="N36" s="36" t="s">
        <v>605</v>
      </c>
    </row>
    <row r="37" spans="1:14" ht="24.95" customHeight="1" x14ac:dyDescent="0.2">
      <c r="A37" s="5">
        <v>149</v>
      </c>
      <c r="B37" s="6" t="s">
        <v>116</v>
      </c>
      <c r="C37" s="6" t="s">
        <v>113</v>
      </c>
      <c r="D37" s="42" t="s">
        <v>624</v>
      </c>
      <c r="E37" s="38" t="s">
        <v>625</v>
      </c>
      <c r="F37" s="43">
        <v>6.1</v>
      </c>
      <c r="G37" s="40" t="s">
        <v>9</v>
      </c>
      <c r="H37" s="40" t="s">
        <v>9</v>
      </c>
      <c r="I37" s="36" t="s">
        <v>8</v>
      </c>
      <c r="J37" s="40" t="s">
        <v>9</v>
      </c>
      <c r="K37" s="44"/>
      <c r="N37" s="36" t="s">
        <v>606</v>
      </c>
    </row>
    <row r="38" spans="1:14" ht="24.95" customHeight="1" x14ac:dyDescent="0.2">
      <c r="A38" s="5">
        <v>150</v>
      </c>
      <c r="B38" s="6" t="s">
        <v>116</v>
      </c>
      <c r="C38" s="6" t="s">
        <v>113</v>
      </c>
      <c r="D38" s="42" t="s">
        <v>626</v>
      </c>
      <c r="E38" s="38" t="s">
        <v>627</v>
      </c>
      <c r="F38" s="43">
        <v>4.5</v>
      </c>
      <c r="G38" s="40" t="s">
        <v>9</v>
      </c>
      <c r="H38" s="40" t="s">
        <v>9</v>
      </c>
      <c r="I38" s="36" t="s">
        <v>8</v>
      </c>
      <c r="J38" s="40" t="s">
        <v>9</v>
      </c>
      <c r="K38" s="44"/>
      <c r="N38" s="45" t="s">
        <v>77</v>
      </c>
    </row>
    <row r="39" spans="1:14" ht="24.95" customHeight="1" x14ac:dyDescent="0.2">
      <c r="A39" s="5">
        <v>161</v>
      </c>
      <c r="B39" s="6" t="s">
        <v>116</v>
      </c>
      <c r="C39" s="6" t="s">
        <v>113</v>
      </c>
      <c r="D39" s="42" t="s">
        <v>628</v>
      </c>
      <c r="E39" s="38" t="s">
        <v>629</v>
      </c>
      <c r="F39" s="43">
        <v>7.25</v>
      </c>
      <c r="G39" s="40" t="s">
        <v>9</v>
      </c>
      <c r="H39" s="40" t="s">
        <v>9</v>
      </c>
      <c r="I39" s="36" t="s">
        <v>8</v>
      </c>
      <c r="J39" s="36" t="s">
        <v>630</v>
      </c>
      <c r="K39" s="46"/>
      <c r="N39" s="47" t="s">
        <v>57</v>
      </c>
    </row>
    <row r="40" spans="1:14" ht="24.95" customHeight="1" x14ac:dyDescent="0.2">
      <c r="A40" s="6">
        <v>169</v>
      </c>
      <c r="B40" s="6" t="s">
        <v>116</v>
      </c>
      <c r="C40" s="6" t="s">
        <v>113</v>
      </c>
      <c r="D40" s="42" t="s">
        <v>631</v>
      </c>
      <c r="E40" s="38" t="s">
        <v>632</v>
      </c>
      <c r="F40" s="43">
        <v>22.2</v>
      </c>
      <c r="G40" s="40" t="s">
        <v>9</v>
      </c>
      <c r="H40" s="47" t="s">
        <v>9</v>
      </c>
      <c r="I40" s="36" t="s">
        <v>59</v>
      </c>
      <c r="J40" s="36" t="s">
        <v>633</v>
      </c>
      <c r="K40" s="46"/>
      <c r="N40" s="48" t="s">
        <v>56</v>
      </c>
    </row>
    <row r="41" spans="1:14" ht="24.95" customHeight="1" x14ac:dyDescent="0.2">
      <c r="A41" s="5">
        <v>170</v>
      </c>
      <c r="B41" s="6" t="s">
        <v>116</v>
      </c>
      <c r="C41" s="6" t="s">
        <v>113</v>
      </c>
      <c r="D41" s="42" t="s">
        <v>634</v>
      </c>
      <c r="E41" s="38" t="s">
        <v>635</v>
      </c>
      <c r="F41" s="43">
        <v>4.05</v>
      </c>
      <c r="G41" s="40" t="s">
        <v>9</v>
      </c>
      <c r="H41" s="47" t="s">
        <v>9</v>
      </c>
      <c r="I41" s="36" t="s">
        <v>47</v>
      </c>
      <c r="J41" s="47" t="s">
        <v>20</v>
      </c>
      <c r="K41" s="46"/>
      <c r="N41" s="47" t="s">
        <v>67</v>
      </c>
    </row>
    <row r="42" spans="1:14" ht="24.95" customHeight="1" x14ac:dyDescent="0.2">
      <c r="A42" s="6">
        <v>214</v>
      </c>
      <c r="B42" s="6" t="s">
        <v>116</v>
      </c>
      <c r="C42" s="6" t="s">
        <v>114</v>
      </c>
      <c r="D42" s="42" t="s">
        <v>636</v>
      </c>
      <c r="E42" s="38" t="s">
        <v>619</v>
      </c>
      <c r="F42" s="39">
        <v>6.15</v>
      </c>
      <c r="G42" s="40" t="s">
        <v>9</v>
      </c>
      <c r="H42" s="40" t="s">
        <v>9</v>
      </c>
      <c r="I42" s="36" t="s">
        <v>8</v>
      </c>
      <c r="J42" s="40" t="s">
        <v>9</v>
      </c>
      <c r="K42" s="44"/>
      <c r="N42" s="47" t="s">
        <v>64</v>
      </c>
    </row>
    <row r="43" spans="1:14" ht="24.95" customHeight="1" x14ac:dyDescent="0.2">
      <c r="A43" s="5">
        <v>215</v>
      </c>
      <c r="B43" s="6" t="s">
        <v>116</v>
      </c>
      <c r="C43" s="6" t="s">
        <v>114</v>
      </c>
      <c r="D43" s="42" t="s">
        <v>637</v>
      </c>
      <c r="E43" s="38" t="s">
        <v>621</v>
      </c>
      <c r="F43" s="39">
        <v>4.5</v>
      </c>
      <c r="G43" s="40" t="s">
        <v>9</v>
      </c>
      <c r="H43" s="40" t="s">
        <v>9</v>
      </c>
      <c r="I43" s="36" t="s">
        <v>8</v>
      </c>
      <c r="J43" s="40" t="s">
        <v>9</v>
      </c>
      <c r="K43" s="44"/>
      <c r="N43" s="45" t="s">
        <v>29</v>
      </c>
    </row>
    <row r="44" spans="1:14" ht="24.95" customHeight="1" x14ac:dyDescent="0.2">
      <c r="A44" s="6">
        <v>226</v>
      </c>
      <c r="B44" s="6" t="s">
        <v>116</v>
      </c>
      <c r="C44" s="6" t="s">
        <v>114</v>
      </c>
      <c r="D44" s="42" t="s">
        <v>638</v>
      </c>
      <c r="E44" s="38" t="s">
        <v>623</v>
      </c>
      <c r="F44" s="39">
        <v>6</v>
      </c>
      <c r="G44" s="40" t="s">
        <v>9</v>
      </c>
      <c r="H44" s="40" t="s">
        <v>9</v>
      </c>
      <c r="I44" s="40" t="s">
        <v>63</v>
      </c>
      <c r="J44" s="40" t="s">
        <v>9</v>
      </c>
      <c r="K44" s="44"/>
      <c r="N44" s="36" t="s">
        <v>639</v>
      </c>
    </row>
    <row r="45" spans="1:14" ht="24.95" customHeight="1" x14ac:dyDescent="0.2">
      <c r="A45" s="6">
        <v>274</v>
      </c>
      <c r="B45" s="6" t="s">
        <v>118</v>
      </c>
      <c r="C45" s="6" t="s">
        <v>112</v>
      </c>
      <c r="D45" s="42" t="s">
        <v>640</v>
      </c>
      <c r="E45" s="38" t="s">
        <v>641</v>
      </c>
      <c r="F45" s="49">
        <v>6.15</v>
      </c>
      <c r="G45" s="40" t="s">
        <v>9</v>
      </c>
      <c r="H45" s="40" t="s">
        <v>9</v>
      </c>
      <c r="I45" s="36" t="s">
        <v>8</v>
      </c>
      <c r="J45" s="40" t="s">
        <v>9</v>
      </c>
      <c r="K45" s="44"/>
      <c r="N45" s="36" t="s">
        <v>642</v>
      </c>
    </row>
    <row r="46" spans="1:14" ht="24.95" customHeight="1" x14ac:dyDescent="0.2">
      <c r="A46" s="5">
        <v>275</v>
      </c>
      <c r="B46" s="6" t="s">
        <v>118</v>
      </c>
      <c r="C46" s="6" t="s">
        <v>112</v>
      </c>
      <c r="D46" s="42" t="s">
        <v>643</v>
      </c>
      <c r="E46" s="38" t="s">
        <v>644</v>
      </c>
      <c r="F46" s="50">
        <v>4.5</v>
      </c>
      <c r="G46" s="40" t="s">
        <v>9</v>
      </c>
      <c r="H46" s="40" t="s">
        <v>9</v>
      </c>
      <c r="I46" s="36" t="s">
        <v>8</v>
      </c>
      <c r="J46" s="40" t="s">
        <v>9</v>
      </c>
      <c r="K46" s="44"/>
      <c r="N46" s="36" t="s">
        <v>645</v>
      </c>
    </row>
    <row r="47" spans="1:14" ht="24.95" customHeight="1" x14ac:dyDescent="0.2">
      <c r="A47" s="6">
        <v>313</v>
      </c>
      <c r="B47" s="6" t="s">
        <v>118</v>
      </c>
      <c r="C47" s="6" t="s">
        <v>113</v>
      </c>
      <c r="D47" s="42" t="s">
        <v>646</v>
      </c>
      <c r="E47" s="38" t="s">
        <v>641</v>
      </c>
      <c r="F47" s="49">
        <v>6.1</v>
      </c>
      <c r="G47" s="40" t="s">
        <v>9</v>
      </c>
      <c r="H47" s="40" t="s">
        <v>9</v>
      </c>
      <c r="I47" s="36" t="s">
        <v>8</v>
      </c>
      <c r="J47" s="40"/>
      <c r="K47" s="51"/>
      <c r="N47" s="36" t="s">
        <v>647</v>
      </c>
    </row>
    <row r="48" spans="1:14" ht="24.95" customHeight="1" x14ac:dyDescent="0.2">
      <c r="A48" s="5">
        <v>314</v>
      </c>
      <c r="B48" s="6" t="s">
        <v>118</v>
      </c>
      <c r="C48" s="6" t="s">
        <v>113</v>
      </c>
      <c r="D48" s="42" t="s">
        <v>648</v>
      </c>
      <c r="E48" s="38" t="s">
        <v>644</v>
      </c>
      <c r="F48" s="49">
        <v>4.4000000000000004</v>
      </c>
      <c r="G48" s="40" t="s">
        <v>9</v>
      </c>
      <c r="H48" s="40" t="s">
        <v>9</v>
      </c>
      <c r="I48" s="36" t="s">
        <v>8</v>
      </c>
      <c r="J48" s="40"/>
      <c r="K48" s="51"/>
      <c r="N48" s="36" t="s">
        <v>649</v>
      </c>
    </row>
    <row r="49" spans="1:14" ht="24.95" customHeight="1" x14ac:dyDescent="0.2">
      <c r="A49" s="6">
        <v>352</v>
      </c>
      <c r="B49" s="6" t="s">
        <v>118</v>
      </c>
      <c r="C49" s="6" t="s">
        <v>114</v>
      </c>
      <c r="D49" s="42" t="s">
        <v>650</v>
      </c>
      <c r="E49" s="38" t="s">
        <v>619</v>
      </c>
      <c r="F49" s="39">
        <v>6.15</v>
      </c>
      <c r="G49" s="40" t="s">
        <v>9</v>
      </c>
      <c r="H49" s="40" t="s">
        <v>9</v>
      </c>
      <c r="I49" s="36" t="s">
        <v>8</v>
      </c>
      <c r="J49" s="40" t="s">
        <v>9</v>
      </c>
      <c r="K49" s="44"/>
      <c r="N49" s="36" t="s">
        <v>651</v>
      </c>
    </row>
    <row r="50" spans="1:14" ht="24.95" customHeight="1" x14ac:dyDescent="0.2">
      <c r="A50" s="5">
        <v>353</v>
      </c>
      <c r="B50" s="6" t="s">
        <v>118</v>
      </c>
      <c r="C50" s="6" t="s">
        <v>114</v>
      </c>
      <c r="D50" s="42" t="s">
        <v>652</v>
      </c>
      <c r="E50" s="38" t="s">
        <v>621</v>
      </c>
      <c r="F50" s="39">
        <v>4.5</v>
      </c>
      <c r="G50" s="40" t="s">
        <v>9</v>
      </c>
      <c r="H50" s="40" t="s">
        <v>9</v>
      </c>
      <c r="I50" s="36" t="s">
        <v>8</v>
      </c>
      <c r="J50" s="40" t="s">
        <v>9</v>
      </c>
      <c r="K50" s="44"/>
      <c r="N50" s="45" t="s">
        <v>224</v>
      </c>
    </row>
    <row r="51" spans="1:14" ht="24.95" customHeight="1" x14ac:dyDescent="0.2">
      <c r="A51" s="5">
        <v>383</v>
      </c>
      <c r="B51" s="6" t="s">
        <v>119</v>
      </c>
      <c r="C51" s="6" t="s">
        <v>112</v>
      </c>
      <c r="D51" s="42" t="s">
        <v>653</v>
      </c>
      <c r="E51" s="38" t="s">
        <v>619</v>
      </c>
      <c r="F51" s="39">
        <v>6.15</v>
      </c>
      <c r="G51" s="40" t="s">
        <v>9</v>
      </c>
      <c r="H51" s="40" t="s">
        <v>9</v>
      </c>
      <c r="I51" s="36" t="s">
        <v>8</v>
      </c>
      <c r="J51" s="40" t="s">
        <v>9</v>
      </c>
      <c r="K51" s="44"/>
      <c r="N51" s="36" t="s">
        <v>654</v>
      </c>
    </row>
    <row r="52" spans="1:14" ht="24.95" customHeight="1" x14ac:dyDescent="0.2">
      <c r="A52" s="5">
        <v>384</v>
      </c>
      <c r="B52" s="6" t="s">
        <v>119</v>
      </c>
      <c r="C52" s="6" t="s">
        <v>112</v>
      </c>
      <c r="D52" s="42" t="s">
        <v>655</v>
      </c>
      <c r="E52" s="38" t="s">
        <v>621</v>
      </c>
      <c r="F52" s="39">
        <v>4.5</v>
      </c>
      <c r="G52" s="40" t="s">
        <v>9</v>
      </c>
      <c r="H52" s="40" t="s">
        <v>9</v>
      </c>
      <c r="I52" s="36" t="s">
        <v>8</v>
      </c>
      <c r="J52" s="40" t="s">
        <v>9</v>
      </c>
      <c r="K52" s="44"/>
      <c r="N52" s="36" t="s">
        <v>656</v>
      </c>
    </row>
    <row r="53" spans="1:14" ht="24.95" customHeight="1" x14ac:dyDescent="0.2">
      <c r="A53" s="5">
        <v>423</v>
      </c>
      <c r="B53" s="6" t="s">
        <v>119</v>
      </c>
      <c r="C53" s="6" t="s">
        <v>113</v>
      </c>
      <c r="D53" s="42" t="s">
        <v>657</v>
      </c>
      <c r="E53" s="38" t="s">
        <v>641</v>
      </c>
      <c r="F53" s="52">
        <v>6.15</v>
      </c>
      <c r="G53" s="40" t="s">
        <v>9</v>
      </c>
      <c r="H53" s="40" t="s">
        <v>9</v>
      </c>
      <c r="I53" s="36" t="s">
        <v>8</v>
      </c>
      <c r="J53" s="40" t="s">
        <v>9</v>
      </c>
      <c r="K53" s="44"/>
      <c r="N53" s="45" t="s">
        <v>226</v>
      </c>
    </row>
    <row r="54" spans="1:14" ht="24.95" customHeight="1" x14ac:dyDescent="0.2">
      <c r="A54" s="6">
        <v>424</v>
      </c>
      <c r="B54" s="6" t="s">
        <v>119</v>
      </c>
      <c r="C54" s="6" t="s">
        <v>113</v>
      </c>
      <c r="D54" s="42" t="s">
        <v>658</v>
      </c>
      <c r="E54" s="38" t="s">
        <v>644</v>
      </c>
      <c r="F54" s="52">
        <v>4.5</v>
      </c>
      <c r="G54" s="40" t="s">
        <v>9</v>
      </c>
      <c r="H54" s="40" t="s">
        <v>9</v>
      </c>
      <c r="I54" s="36" t="s">
        <v>8</v>
      </c>
      <c r="J54" s="40" t="s">
        <v>9</v>
      </c>
      <c r="K54" s="44"/>
      <c r="N54" s="45" t="s">
        <v>227</v>
      </c>
    </row>
    <row r="55" spans="1:14" ht="24.95" customHeight="1" x14ac:dyDescent="0.2">
      <c r="A55" s="5">
        <v>462</v>
      </c>
      <c r="B55" s="6" t="s">
        <v>119</v>
      </c>
      <c r="C55" s="6" t="s">
        <v>114</v>
      </c>
      <c r="D55" s="42" t="s">
        <v>659</v>
      </c>
      <c r="E55" s="38" t="s">
        <v>660</v>
      </c>
      <c r="F55" s="49">
        <v>6.15</v>
      </c>
      <c r="G55" s="40" t="s">
        <v>9</v>
      </c>
      <c r="H55" s="40" t="s">
        <v>9</v>
      </c>
      <c r="I55" s="36" t="s">
        <v>8</v>
      </c>
      <c r="J55" s="40" t="s">
        <v>9</v>
      </c>
      <c r="K55" s="44"/>
      <c r="N55" s="45" t="s">
        <v>230</v>
      </c>
    </row>
    <row r="56" spans="1:14" ht="24.95" customHeight="1" x14ac:dyDescent="0.2">
      <c r="A56" s="6">
        <v>463</v>
      </c>
      <c r="B56" s="6" t="s">
        <v>119</v>
      </c>
      <c r="C56" s="6" t="s">
        <v>114</v>
      </c>
      <c r="D56" s="42" t="s">
        <v>661</v>
      </c>
      <c r="E56" s="38" t="s">
        <v>644</v>
      </c>
      <c r="F56" s="49">
        <v>4.5</v>
      </c>
      <c r="G56" s="40" t="s">
        <v>9</v>
      </c>
      <c r="H56" s="40" t="s">
        <v>9</v>
      </c>
      <c r="I56" s="36" t="s">
        <v>8</v>
      </c>
      <c r="J56" s="40" t="s">
        <v>9</v>
      </c>
      <c r="K56" s="44"/>
      <c r="N56" s="45" t="s">
        <v>237</v>
      </c>
    </row>
    <row r="57" spans="1:14" ht="24.95" customHeight="1" x14ac:dyDescent="0.2">
      <c r="A57" s="6">
        <v>502</v>
      </c>
      <c r="B57" s="6" t="s">
        <v>120</v>
      </c>
      <c r="C57" s="6" t="s">
        <v>112</v>
      </c>
      <c r="D57" s="42" t="s">
        <v>662</v>
      </c>
      <c r="E57" s="38" t="s">
        <v>660</v>
      </c>
      <c r="F57" s="49">
        <v>6.1</v>
      </c>
      <c r="G57" s="40" t="s">
        <v>9</v>
      </c>
      <c r="H57" s="40" t="s">
        <v>9</v>
      </c>
      <c r="I57" s="36" t="s">
        <v>8</v>
      </c>
      <c r="J57" s="40" t="s">
        <v>9</v>
      </c>
      <c r="K57" s="51"/>
      <c r="N57" s="36" t="s">
        <v>607</v>
      </c>
    </row>
    <row r="58" spans="1:14" ht="24.95" customHeight="1" x14ac:dyDescent="0.2">
      <c r="A58" s="5">
        <v>503</v>
      </c>
      <c r="B58" s="6" t="s">
        <v>120</v>
      </c>
      <c r="C58" s="6" t="s">
        <v>112</v>
      </c>
      <c r="D58" s="42" t="s">
        <v>663</v>
      </c>
      <c r="E58" s="38" t="s">
        <v>644</v>
      </c>
      <c r="F58" s="49">
        <v>4.4000000000000004</v>
      </c>
      <c r="G58" s="40" t="s">
        <v>9</v>
      </c>
      <c r="H58" s="40" t="s">
        <v>9</v>
      </c>
      <c r="I58" s="36" t="s">
        <v>8</v>
      </c>
      <c r="J58" s="40" t="s">
        <v>9</v>
      </c>
      <c r="K58" s="51"/>
      <c r="N58" s="53" t="s">
        <v>608</v>
      </c>
    </row>
    <row r="59" spans="1:14" ht="24.95" customHeight="1" x14ac:dyDescent="0.2">
      <c r="A59" s="6">
        <v>541</v>
      </c>
      <c r="B59" s="6" t="s">
        <v>120</v>
      </c>
      <c r="C59" s="6" t="s">
        <v>113</v>
      </c>
      <c r="D59" s="42" t="s">
        <v>664</v>
      </c>
      <c r="E59" s="38" t="s">
        <v>660</v>
      </c>
      <c r="F59" s="49">
        <v>6.15</v>
      </c>
      <c r="G59" s="40" t="s">
        <v>9</v>
      </c>
      <c r="H59" s="40" t="s">
        <v>9</v>
      </c>
      <c r="I59" s="36" t="s">
        <v>8</v>
      </c>
      <c r="J59" s="40" t="s">
        <v>9</v>
      </c>
      <c r="K59" s="44"/>
      <c r="N59" s="36" t="s">
        <v>609</v>
      </c>
    </row>
    <row r="60" spans="1:14" ht="24.95" customHeight="1" x14ac:dyDescent="0.2">
      <c r="A60" s="5">
        <v>542</v>
      </c>
      <c r="B60" s="6" t="s">
        <v>120</v>
      </c>
      <c r="C60" s="6" t="s">
        <v>113</v>
      </c>
      <c r="D60" s="42" t="s">
        <v>665</v>
      </c>
      <c r="E60" s="38" t="s">
        <v>644</v>
      </c>
      <c r="F60" s="49">
        <v>4.5</v>
      </c>
      <c r="G60" s="40" t="s">
        <v>9</v>
      </c>
      <c r="H60" s="40" t="s">
        <v>9</v>
      </c>
      <c r="I60" s="36" t="s">
        <v>8</v>
      </c>
      <c r="J60" s="40" t="s">
        <v>9</v>
      </c>
      <c r="K60" s="44"/>
    </row>
    <row r="61" spans="1:14" ht="24.95" customHeight="1" x14ac:dyDescent="0.2">
      <c r="A61" s="6">
        <v>580</v>
      </c>
      <c r="B61" s="6" t="s">
        <v>120</v>
      </c>
      <c r="C61" s="6" t="s">
        <v>114</v>
      </c>
      <c r="D61" s="42" t="s">
        <v>666</v>
      </c>
      <c r="E61" s="38" t="s">
        <v>660</v>
      </c>
      <c r="F61" s="49">
        <v>6.15</v>
      </c>
      <c r="G61" s="40" t="s">
        <v>9</v>
      </c>
      <c r="H61" s="40" t="s">
        <v>9</v>
      </c>
      <c r="I61" s="36" t="s">
        <v>8</v>
      </c>
      <c r="J61" s="40"/>
      <c r="K61" s="44"/>
    </row>
    <row r="62" spans="1:14" ht="24.95" customHeight="1" x14ac:dyDescent="0.2">
      <c r="A62" s="5">
        <v>581</v>
      </c>
      <c r="B62" s="6" t="s">
        <v>120</v>
      </c>
      <c r="C62" s="6" t="s">
        <v>114</v>
      </c>
      <c r="D62" s="42" t="s">
        <v>667</v>
      </c>
      <c r="E62" s="38" t="s">
        <v>644</v>
      </c>
      <c r="F62" s="49">
        <v>4.5</v>
      </c>
      <c r="G62" s="40" t="s">
        <v>9</v>
      </c>
      <c r="H62" s="40" t="s">
        <v>9</v>
      </c>
      <c r="I62" s="36" t="s">
        <v>8</v>
      </c>
      <c r="J62" s="40"/>
      <c r="K62" s="44"/>
    </row>
    <row r="63" spans="1:14" ht="24.95" customHeight="1" x14ac:dyDescent="0.2">
      <c r="A63" s="54">
        <v>367</v>
      </c>
      <c r="B63" s="54" t="s">
        <v>118</v>
      </c>
      <c r="C63" s="54" t="s">
        <v>114</v>
      </c>
      <c r="D63" s="55" t="s">
        <v>668</v>
      </c>
      <c r="E63" s="56" t="s">
        <v>669</v>
      </c>
      <c r="F63" s="57">
        <v>41.9</v>
      </c>
      <c r="G63" s="58">
        <v>2910</v>
      </c>
      <c r="H63" s="59" t="s">
        <v>670</v>
      </c>
      <c r="I63" s="59" t="s">
        <v>102</v>
      </c>
      <c r="J63" s="59" t="s">
        <v>671</v>
      </c>
      <c r="K63" s="60"/>
    </row>
    <row r="64" spans="1:14" ht="24.95" customHeight="1" x14ac:dyDescent="0.2">
      <c r="A64" s="5">
        <v>6</v>
      </c>
      <c r="B64" s="6" t="s">
        <v>111</v>
      </c>
      <c r="C64" s="6" t="s">
        <v>112</v>
      </c>
      <c r="D64" s="42" t="s">
        <v>672</v>
      </c>
      <c r="E64" s="38" t="s">
        <v>673</v>
      </c>
      <c r="F64" s="50">
        <v>43.6</v>
      </c>
      <c r="G64" s="61" t="s">
        <v>13</v>
      </c>
      <c r="H64" s="36" t="s">
        <v>603</v>
      </c>
      <c r="I64" s="62" t="s">
        <v>15</v>
      </c>
      <c r="J64" s="36" t="s">
        <v>674</v>
      </c>
      <c r="K64" s="46"/>
    </row>
    <row r="65" spans="1:11" ht="24.95" customHeight="1" x14ac:dyDescent="0.2">
      <c r="A65" s="5">
        <v>9</v>
      </c>
      <c r="B65" s="6" t="s">
        <v>111</v>
      </c>
      <c r="C65" s="6" t="s">
        <v>112</v>
      </c>
      <c r="D65" s="42" t="s">
        <v>675</v>
      </c>
      <c r="E65" s="38" t="s">
        <v>676</v>
      </c>
      <c r="F65" s="49">
        <v>12.4</v>
      </c>
      <c r="G65" s="63">
        <v>2930</v>
      </c>
      <c r="H65" s="36" t="s">
        <v>603</v>
      </c>
      <c r="I65" s="36" t="s">
        <v>2</v>
      </c>
      <c r="J65" s="36" t="s">
        <v>677</v>
      </c>
      <c r="K65" s="46"/>
    </row>
    <row r="66" spans="1:11" ht="24.95" customHeight="1" x14ac:dyDescent="0.2">
      <c r="A66" s="6">
        <v>10</v>
      </c>
      <c r="B66" s="6" t="s">
        <v>111</v>
      </c>
      <c r="C66" s="6" t="s">
        <v>112</v>
      </c>
      <c r="D66" s="42" t="s">
        <v>678</v>
      </c>
      <c r="E66" s="38" t="s">
        <v>679</v>
      </c>
      <c r="F66" s="49">
        <v>100</v>
      </c>
      <c r="G66" s="63">
        <v>2930</v>
      </c>
      <c r="H66" s="36" t="s">
        <v>603</v>
      </c>
      <c r="I66" s="36" t="s">
        <v>2</v>
      </c>
      <c r="J66" s="36" t="s">
        <v>677</v>
      </c>
      <c r="K66" s="46"/>
    </row>
    <row r="67" spans="1:11" ht="24.95" customHeight="1" x14ac:dyDescent="0.2">
      <c r="A67" s="5">
        <v>11</v>
      </c>
      <c r="B67" s="6" t="s">
        <v>111</v>
      </c>
      <c r="C67" s="6" t="s">
        <v>112</v>
      </c>
      <c r="D67" s="42" t="s">
        <v>680</v>
      </c>
      <c r="E67" s="38" t="s">
        <v>679</v>
      </c>
      <c r="F67" s="49">
        <v>17.25</v>
      </c>
      <c r="G67" s="63">
        <v>2930</v>
      </c>
      <c r="H67" s="36" t="s">
        <v>603</v>
      </c>
      <c r="I67" s="36" t="s">
        <v>2</v>
      </c>
      <c r="J67" s="36" t="s">
        <v>677</v>
      </c>
      <c r="K67" s="46"/>
    </row>
    <row r="68" spans="1:11" ht="24.95" customHeight="1" x14ac:dyDescent="0.2">
      <c r="A68" s="5">
        <v>12</v>
      </c>
      <c r="B68" s="6" t="s">
        <v>111</v>
      </c>
      <c r="C68" s="6" t="s">
        <v>112</v>
      </c>
      <c r="D68" s="42" t="s">
        <v>681</v>
      </c>
      <c r="E68" s="38" t="s">
        <v>682</v>
      </c>
      <c r="F68" s="49">
        <v>24.1</v>
      </c>
      <c r="G68" s="63">
        <v>2930</v>
      </c>
      <c r="H68" s="36" t="s">
        <v>603</v>
      </c>
      <c r="I68" s="36" t="s">
        <v>2</v>
      </c>
      <c r="J68" s="36" t="s">
        <v>677</v>
      </c>
      <c r="K68" s="46"/>
    </row>
    <row r="69" spans="1:11" ht="24.95" customHeight="1" x14ac:dyDescent="0.2">
      <c r="A69" s="6">
        <v>13</v>
      </c>
      <c r="B69" s="6" t="s">
        <v>111</v>
      </c>
      <c r="C69" s="6" t="s">
        <v>112</v>
      </c>
      <c r="D69" s="42" t="s">
        <v>683</v>
      </c>
      <c r="E69" s="38" t="s">
        <v>684</v>
      </c>
      <c r="F69" s="49">
        <v>51.45</v>
      </c>
      <c r="G69" s="63">
        <v>2930</v>
      </c>
      <c r="H69" s="36" t="s">
        <v>603</v>
      </c>
      <c r="I69" s="36" t="s">
        <v>2</v>
      </c>
      <c r="J69" s="36" t="s">
        <v>677</v>
      </c>
      <c r="K69" s="46"/>
    </row>
    <row r="70" spans="1:11" ht="24.95" customHeight="1" x14ac:dyDescent="0.2">
      <c r="A70" s="5">
        <v>14</v>
      </c>
      <c r="B70" s="6" t="s">
        <v>111</v>
      </c>
      <c r="C70" s="6" t="s">
        <v>112</v>
      </c>
      <c r="D70" s="42" t="s">
        <v>685</v>
      </c>
      <c r="E70" s="38" t="s">
        <v>686</v>
      </c>
      <c r="F70" s="49">
        <v>21.75</v>
      </c>
      <c r="G70" s="63">
        <v>2930</v>
      </c>
      <c r="H70" s="36" t="s">
        <v>603</v>
      </c>
      <c r="I70" s="36" t="s">
        <v>3</v>
      </c>
      <c r="J70" s="36" t="s">
        <v>677</v>
      </c>
      <c r="K70" s="46"/>
    </row>
    <row r="71" spans="1:11" ht="24.95" customHeight="1" x14ac:dyDescent="0.2">
      <c r="A71" s="5">
        <v>15</v>
      </c>
      <c r="B71" s="6" t="s">
        <v>111</v>
      </c>
      <c r="C71" s="6" t="s">
        <v>112</v>
      </c>
      <c r="D71" s="42" t="s">
        <v>687</v>
      </c>
      <c r="E71" s="38" t="s">
        <v>688</v>
      </c>
      <c r="F71" s="49">
        <v>26.3</v>
      </c>
      <c r="G71" s="63">
        <v>2930</v>
      </c>
      <c r="H71" s="36" t="s">
        <v>603</v>
      </c>
      <c r="I71" s="36" t="s">
        <v>2</v>
      </c>
      <c r="J71" s="36" t="s">
        <v>677</v>
      </c>
      <c r="K71" s="46"/>
    </row>
    <row r="72" spans="1:11" ht="24.95" customHeight="1" x14ac:dyDescent="0.2">
      <c r="A72" s="6">
        <v>16</v>
      </c>
      <c r="B72" s="6" t="s">
        <v>111</v>
      </c>
      <c r="C72" s="6" t="s">
        <v>112</v>
      </c>
      <c r="D72" s="64" t="s">
        <v>689</v>
      </c>
      <c r="E72" s="65" t="s">
        <v>690</v>
      </c>
      <c r="F72" s="66">
        <v>21.65</v>
      </c>
      <c r="G72" s="67">
        <v>2930</v>
      </c>
      <c r="H72" s="53" t="s">
        <v>603</v>
      </c>
      <c r="I72" s="53" t="s">
        <v>2</v>
      </c>
      <c r="J72" s="53" t="s">
        <v>677</v>
      </c>
      <c r="K72" s="68"/>
    </row>
    <row r="73" spans="1:11" x14ac:dyDescent="0.2">
      <c r="A73" s="5">
        <v>17</v>
      </c>
      <c r="B73" s="6" t="s">
        <v>111</v>
      </c>
      <c r="C73" s="6" t="s">
        <v>112</v>
      </c>
      <c r="D73" s="69" t="s">
        <v>691</v>
      </c>
      <c r="E73" s="31" t="s">
        <v>692</v>
      </c>
      <c r="F73" s="70">
        <v>8.8000000000000007</v>
      </c>
      <c r="G73" s="71">
        <v>2930</v>
      </c>
      <c r="H73" s="34" t="s">
        <v>603</v>
      </c>
      <c r="I73" s="34" t="s">
        <v>2</v>
      </c>
      <c r="J73" s="34" t="s">
        <v>677</v>
      </c>
      <c r="K73" s="72"/>
    </row>
    <row r="74" spans="1:11" x14ac:dyDescent="0.2">
      <c r="A74" s="5">
        <v>18</v>
      </c>
      <c r="B74" s="6" t="s">
        <v>111</v>
      </c>
      <c r="C74" s="6" t="s">
        <v>112</v>
      </c>
      <c r="D74" s="42" t="s">
        <v>693</v>
      </c>
      <c r="E74" s="38" t="s">
        <v>694</v>
      </c>
      <c r="F74" s="49">
        <v>8.8000000000000007</v>
      </c>
      <c r="G74" s="63">
        <v>2930</v>
      </c>
      <c r="H74" s="36" t="s">
        <v>603</v>
      </c>
      <c r="I74" s="36" t="s">
        <v>2</v>
      </c>
      <c r="J74" s="36" t="s">
        <v>677</v>
      </c>
      <c r="K74" s="46"/>
    </row>
    <row r="75" spans="1:11" x14ac:dyDescent="0.2">
      <c r="A75" s="6">
        <v>19</v>
      </c>
      <c r="B75" s="6" t="s">
        <v>111</v>
      </c>
      <c r="C75" s="6" t="s">
        <v>112</v>
      </c>
      <c r="D75" s="42" t="s">
        <v>695</v>
      </c>
      <c r="E75" s="38" t="s">
        <v>696</v>
      </c>
      <c r="F75" s="49">
        <v>23.15</v>
      </c>
      <c r="G75" s="63">
        <v>3505</v>
      </c>
      <c r="H75" s="36" t="s">
        <v>603</v>
      </c>
      <c r="I75" s="36" t="s">
        <v>2</v>
      </c>
      <c r="J75" s="36" t="s">
        <v>677</v>
      </c>
      <c r="K75" s="46"/>
    </row>
    <row r="76" spans="1:11" x14ac:dyDescent="0.2">
      <c r="A76" s="5">
        <v>20</v>
      </c>
      <c r="B76" s="6" t="s">
        <v>111</v>
      </c>
      <c r="C76" s="6" t="s">
        <v>112</v>
      </c>
      <c r="D76" s="42" t="s">
        <v>697</v>
      </c>
      <c r="E76" s="38" t="s">
        <v>698</v>
      </c>
      <c r="F76" s="49">
        <v>24.6</v>
      </c>
      <c r="G76" s="63">
        <v>2930</v>
      </c>
      <c r="H76" s="36" t="s">
        <v>603</v>
      </c>
      <c r="I76" s="36" t="s">
        <v>2</v>
      </c>
      <c r="J76" s="36" t="s">
        <v>677</v>
      </c>
      <c r="K76" s="46"/>
    </row>
    <row r="77" spans="1:11" x14ac:dyDescent="0.2">
      <c r="A77" s="5">
        <v>21</v>
      </c>
      <c r="B77" s="6" t="s">
        <v>111</v>
      </c>
      <c r="C77" s="6" t="s">
        <v>112</v>
      </c>
      <c r="D77" s="42" t="s">
        <v>699</v>
      </c>
      <c r="E77" s="38" t="s">
        <v>700</v>
      </c>
      <c r="F77" s="49">
        <v>19.649999999999999</v>
      </c>
      <c r="G77" s="63">
        <v>2750</v>
      </c>
      <c r="H77" s="36" t="s">
        <v>603</v>
      </c>
      <c r="I77" s="36" t="s">
        <v>4</v>
      </c>
      <c r="J77" s="36" t="s">
        <v>701</v>
      </c>
      <c r="K77" s="46"/>
    </row>
    <row r="78" spans="1:11" x14ac:dyDescent="0.2">
      <c r="A78" s="6">
        <v>22</v>
      </c>
      <c r="B78" s="6" t="s">
        <v>111</v>
      </c>
      <c r="C78" s="6" t="s">
        <v>112</v>
      </c>
      <c r="D78" s="42" t="s">
        <v>702</v>
      </c>
      <c r="E78" s="38" t="s">
        <v>703</v>
      </c>
      <c r="F78" s="49">
        <v>38.1</v>
      </c>
      <c r="G78" s="63">
        <v>3325</v>
      </c>
      <c r="H78" s="36" t="s">
        <v>603</v>
      </c>
      <c r="I78" s="36" t="s">
        <v>5</v>
      </c>
      <c r="J78" s="36" t="s">
        <v>701</v>
      </c>
      <c r="K78" s="46"/>
    </row>
    <row r="79" spans="1:11" x14ac:dyDescent="0.2">
      <c r="A79" s="5">
        <v>23</v>
      </c>
      <c r="B79" s="6" t="s">
        <v>111</v>
      </c>
      <c r="C79" s="6" t="s">
        <v>112</v>
      </c>
      <c r="D79" s="42" t="s">
        <v>704</v>
      </c>
      <c r="E79" s="38" t="s">
        <v>705</v>
      </c>
      <c r="F79" s="50">
        <v>5.45</v>
      </c>
      <c r="G79" s="63">
        <v>3325</v>
      </c>
      <c r="H79" s="36" t="s">
        <v>603</v>
      </c>
      <c r="I79" s="36" t="s">
        <v>5</v>
      </c>
      <c r="J79" s="36" t="s">
        <v>701</v>
      </c>
      <c r="K79" s="46"/>
    </row>
    <row r="80" spans="1:11" x14ac:dyDescent="0.2">
      <c r="A80" s="5">
        <v>50</v>
      </c>
      <c r="B80" s="6" t="s">
        <v>111</v>
      </c>
      <c r="C80" s="6" t="s">
        <v>113</v>
      </c>
      <c r="D80" s="42" t="s">
        <v>706</v>
      </c>
      <c r="E80" s="38" t="s">
        <v>673</v>
      </c>
      <c r="F80" s="49">
        <v>43.6</v>
      </c>
      <c r="G80" s="61" t="s">
        <v>13</v>
      </c>
      <c r="H80" s="36" t="s">
        <v>603</v>
      </c>
      <c r="I80" s="36" t="s">
        <v>15</v>
      </c>
      <c r="J80" s="36" t="s">
        <v>674</v>
      </c>
      <c r="K80" s="46"/>
    </row>
    <row r="81" spans="1:11" x14ac:dyDescent="0.2">
      <c r="A81" s="5">
        <v>53</v>
      </c>
      <c r="B81" s="6" t="s">
        <v>111</v>
      </c>
      <c r="C81" s="6" t="s">
        <v>113</v>
      </c>
      <c r="D81" s="42" t="s">
        <v>707</v>
      </c>
      <c r="E81" s="38" t="s">
        <v>679</v>
      </c>
      <c r="F81" s="49">
        <v>113.85</v>
      </c>
      <c r="G81" s="63">
        <v>2930</v>
      </c>
      <c r="H81" s="36" t="s">
        <v>603</v>
      </c>
      <c r="I81" s="36" t="s">
        <v>2</v>
      </c>
      <c r="J81" s="36" t="s">
        <v>677</v>
      </c>
      <c r="K81" s="46"/>
    </row>
    <row r="82" spans="1:11" x14ac:dyDescent="0.2">
      <c r="A82" s="5">
        <v>54</v>
      </c>
      <c r="B82" s="6" t="s">
        <v>111</v>
      </c>
      <c r="C82" s="6" t="s">
        <v>113</v>
      </c>
      <c r="D82" s="42" t="s">
        <v>708</v>
      </c>
      <c r="E82" s="38" t="s">
        <v>679</v>
      </c>
      <c r="F82" s="49">
        <v>25.8</v>
      </c>
      <c r="G82" s="63">
        <v>2930</v>
      </c>
      <c r="H82" s="36" t="s">
        <v>603</v>
      </c>
      <c r="I82" s="36" t="s">
        <v>2</v>
      </c>
      <c r="J82" s="36" t="s">
        <v>677</v>
      </c>
      <c r="K82" s="46"/>
    </row>
    <row r="83" spans="1:11" x14ac:dyDescent="0.2">
      <c r="A83" s="6">
        <v>55</v>
      </c>
      <c r="B83" s="6" t="s">
        <v>111</v>
      </c>
      <c r="C83" s="6" t="s">
        <v>113</v>
      </c>
      <c r="D83" s="42" t="s">
        <v>709</v>
      </c>
      <c r="E83" s="38" t="s">
        <v>679</v>
      </c>
      <c r="F83" s="49">
        <v>22.95</v>
      </c>
      <c r="G83" s="63">
        <v>2930</v>
      </c>
      <c r="H83" s="36" t="s">
        <v>603</v>
      </c>
      <c r="I83" s="36" t="s">
        <v>2</v>
      </c>
      <c r="J83" s="36" t="s">
        <v>677</v>
      </c>
      <c r="K83" s="46"/>
    </row>
    <row r="84" spans="1:11" x14ac:dyDescent="0.2">
      <c r="A84" s="5">
        <v>56</v>
      </c>
      <c r="B84" s="6" t="s">
        <v>111</v>
      </c>
      <c r="C84" s="6" t="s">
        <v>113</v>
      </c>
      <c r="D84" s="42" t="s">
        <v>710</v>
      </c>
      <c r="E84" s="38" t="s">
        <v>711</v>
      </c>
      <c r="F84" s="49">
        <v>18.45</v>
      </c>
      <c r="G84" s="63">
        <v>2930</v>
      </c>
      <c r="H84" s="36" t="s">
        <v>603</v>
      </c>
      <c r="I84" s="36" t="s">
        <v>3</v>
      </c>
      <c r="J84" s="36" t="s">
        <v>677</v>
      </c>
      <c r="K84" s="46"/>
    </row>
    <row r="85" spans="1:11" x14ac:dyDescent="0.2">
      <c r="A85" s="5">
        <v>57</v>
      </c>
      <c r="B85" s="6" t="s">
        <v>111</v>
      </c>
      <c r="C85" s="6" t="s">
        <v>113</v>
      </c>
      <c r="D85" s="42" t="s">
        <v>712</v>
      </c>
      <c r="E85" s="73" t="s">
        <v>16</v>
      </c>
      <c r="F85" s="49">
        <v>30</v>
      </c>
      <c r="G85" s="63">
        <v>2400</v>
      </c>
      <c r="H85" s="36" t="s">
        <v>603</v>
      </c>
      <c r="I85" s="36" t="s">
        <v>17</v>
      </c>
      <c r="J85" s="74" t="s">
        <v>18</v>
      </c>
      <c r="K85" s="44"/>
    </row>
    <row r="86" spans="1:11" x14ac:dyDescent="0.2">
      <c r="A86" s="6">
        <v>58</v>
      </c>
      <c r="B86" s="6" t="s">
        <v>111</v>
      </c>
      <c r="C86" s="6" t="s">
        <v>113</v>
      </c>
      <c r="D86" s="42" t="s">
        <v>713</v>
      </c>
      <c r="E86" s="73" t="s">
        <v>19</v>
      </c>
      <c r="F86" s="49">
        <v>42.85</v>
      </c>
      <c r="G86" s="63">
        <v>2400</v>
      </c>
      <c r="H86" s="36" t="s">
        <v>603</v>
      </c>
      <c r="I86" s="36" t="s">
        <v>17</v>
      </c>
      <c r="J86" s="74" t="s">
        <v>18</v>
      </c>
      <c r="K86" s="44"/>
    </row>
    <row r="87" spans="1:11" x14ac:dyDescent="0.2">
      <c r="A87" s="5">
        <v>59</v>
      </c>
      <c r="B87" s="6" t="s">
        <v>111</v>
      </c>
      <c r="C87" s="6" t="s">
        <v>113</v>
      </c>
      <c r="D87" s="42" t="s">
        <v>714</v>
      </c>
      <c r="E87" s="38" t="s">
        <v>715</v>
      </c>
      <c r="F87" s="49">
        <v>44.45</v>
      </c>
      <c r="G87" s="63">
        <v>2930</v>
      </c>
      <c r="H87" s="36" t="s">
        <v>603</v>
      </c>
      <c r="I87" s="36" t="s">
        <v>2</v>
      </c>
      <c r="J87" s="36" t="s">
        <v>677</v>
      </c>
      <c r="K87" s="46"/>
    </row>
    <row r="88" spans="1:11" x14ac:dyDescent="0.2">
      <c r="A88" s="5">
        <v>60</v>
      </c>
      <c r="B88" s="6" t="s">
        <v>111</v>
      </c>
      <c r="C88" s="6" t="s">
        <v>113</v>
      </c>
      <c r="D88" s="42" t="s">
        <v>716</v>
      </c>
      <c r="E88" s="38" t="s">
        <v>686</v>
      </c>
      <c r="F88" s="49">
        <v>24.05</v>
      </c>
      <c r="G88" s="63">
        <v>2930</v>
      </c>
      <c r="H88" s="36" t="s">
        <v>603</v>
      </c>
      <c r="I88" s="36" t="s">
        <v>2</v>
      </c>
      <c r="J88" s="36" t="s">
        <v>677</v>
      </c>
      <c r="K88" s="46"/>
    </row>
    <row r="89" spans="1:11" ht="30" x14ac:dyDescent="0.2">
      <c r="A89" s="6">
        <v>61</v>
      </c>
      <c r="B89" s="6" t="s">
        <v>111</v>
      </c>
      <c r="C89" s="6" t="s">
        <v>113</v>
      </c>
      <c r="D89" s="42" t="s">
        <v>717</v>
      </c>
      <c r="E89" s="38" t="s">
        <v>718</v>
      </c>
      <c r="F89" s="49">
        <v>82.55</v>
      </c>
      <c r="G89" s="63">
        <v>2930</v>
      </c>
      <c r="H89" s="36" t="s">
        <v>603</v>
      </c>
      <c r="I89" s="36" t="s">
        <v>2</v>
      </c>
      <c r="J89" s="36" t="s">
        <v>677</v>
      </c>
      <c r="K89" s="46"/>
    </row>
    <row r="90" spans="1:11" x14ac:dyDescent="0.2">
      <c r="A90" s="5">
        <v>62</v>
      </c>
      <c r="B90" s="6" t="s">
        <v>111</v>
      </c>
      <c r="C90" s="6" t="s">
        <v>113</v>
      </c>
      <c r="D90" s="42" t="s">
        <v>719</v>
      </c>
      <c r="E90" s="38" t="s">
        <v>720</v>
      </c>
      <c r="F90" s="49">
        <v>15.55</v>
      </c>
      <c r="G90" s="63">
        <v>2400</v>
      </c>
      <c r="H90" s="36" t="s">
        <v>603</v>
      </c>
      <c r="I90" s="36" t="s">
        <v>2</v>
      </c>
      <c r="J90" s="36" t="s">
        <v>677</v>
      </c>
      <c r="K90" s="46"/>
    </row>
    <row r="91" spans="1:11" x14ac:dyDescent="0.2">
      <c r="A91" s="6">
        <v>64</v>
      </c>
      <c r="B91" s="6" t="s">
        <v>111</v>
      </c>
      <c r="C91" s="6" t="s">
        <v>113</v>
      </c>
      <c r="D91" s="42" t="s">
        <v>721</v>
      </c>
      <c r="E91" s="38" t="s">
        <v>722</v>
      </c>
      <c r="F91" s="49">
        <v>12.1</v>
      </c>
      <c r="G91" s="63">
        <v>2930</v>
      </c>
      <c r="H91" s="36" t="s">
        <v>603</v>
      </c>
      <c r="I91" s="36" t="s">
        <v>2</v>
      </c>
      <c r="J91" s="74" t="s">
        <v>20</v>
      </c>
      <c r="K91" s="46"/>
    </row>
    <row r="92" spans="1:11" x14ac:dyDescent="0.2">
      <c r="A92" s="5">
        <v>80</v>
      </c>
      <c r="B92" s="6" t="s">
        <v>111</v>
      </c>
      <c r="C92" s="6" t="s">
        <v>114</v>
      </c>
      <c r="D92" s="42" t="s">
        <v>723</v>
      </c>
      <c r="E92" s="38" t="s">
        <v>673</v>
      </c>
      <c r="F92" s="75">
        <v>48.3</v>
      </c>
      <c r="G92" s="61" t="s">
        <v>24</v>
      </c>
      <c r="H92" s="36" t="s">
        <v>603</v>
      </c>
      <c r="I92" s="36" t="s">
        <v>25</v>
      </c>
      <c r="J92" s="36" t="s">
        <v>674</v>
      </c>
      <c r="K92" s="46"/>
    </row>
    <row r="93" spans="1:11" x14ac:dyDescent="0.2">
      <c r="A93" s="5">
        <v>83</v>
      </c>
      <c r="B93" s="6" t="s">
        <v>111</v>
      </c>
      <c r="C93" s="6" t="s">
        <v>114</v>
      </c>
      <c r="D93" s="42" t="s">
        <v>724</v>
      </c>
      <c r="E93" s="38" t="s">
        <v>679</v>
      </c>
      <c r="F93" s="49">
        <v>51.1</v>
      </c>
      <c r="G93" s="63">
        <v>2930</v>
      </c>
      <c r="H93" s="36" t="s">
        <v>603</v>
      </c>
      <c r="I93" s="36" t="s">
        <v>3</v>
      </c>
      <c r="J93" s="36" t="s">
        <v>677</v>
      </c>
      <c r="K93" s="46"/>
    </row>
    <row r="94" spans="1:11" x14ac:dyDescent="0.2">
      <c r="A94" s="5">
        <v>84</v>
      </c>
      <c r="B94" s="6" t="s">
        <v>111</v>
      </c>
      <c r="C94" s="6" t="s">
        <v>114</v>
      </c>
      <c r="D94" s="42" t="s">
        <v>725</v>
      </c>
      <c r="E94" s="38" t="s">
        <v>726</v>
      </c>
      <c r="F94" s="49">
        <v>10.1</v>
      </c>
      <c r="G94" s="63">
        <v>2400</v>
      </c>
      <c r="H94" s="36" t="s">
        <v>603</v>
      </c>
      <c r="I94" s="36" t="s">
        <v>3</v>
      </c>
      <c r="J94" s="36" t="s">
        <v>677</v>
      </c>
      <c r="K94" s="46"/>
    </row>
    <row r="95" spans="1:11" ht="30" x14ac:dyDescent="0.2">
      <c r="A95" s="6">
        <v>85</v>
      </c>
      <c r="B95" s="6" t="s">
        <v>111</v>
      </c>
      <c r="C95" s="6" t="s">
        <v>114</v>
      </c>
      <c r="D95" s="42" t="s">
        <v>727</v>
      </c>
      <c r="E95" s="76" t="s">
        <v>728</v>
      </c>
      <c r="F95" s="49">
        <v>29.8</v>
      </c>
      <c r="G95" s="63">
        <v>2930</v>
      </c>
      <c r="H95" s="36" t="s">
        <v>603</v>
      </c>
      <c r="I95" s="36" t="s">
        <v>2</v>
      </c>
      <c r="J95" s="36" t="s">
        <v>677</v>
      </c>
      <c r="K95" s="46"/>
    </row>
    <row r="96" spans="1:11" x14ac:dyDescent="0.2">
      <c r="A96" s="5">
        <v>86</v>
      </c>
      <c r="B96" s="6" t="s">
        <v>111</v>
      </c>
      <c r="C96" s="6" t="s">
        <v>114</v>
      </c>
      <c r="D96" s="42" t="s">
        <v>729</v>
      </c>
      <c r="E96" s="38" t="s">
        <v>730</v>
      </c>
      <c r="F96" s="75">
        <v>38.6</v>
      </c>
      <c r="G96" s="63">
        <v>2930</v>
      </c>
      <c r="H96" s="36" t="s">
        <v>603</v>
      </c>
      <c r="I96" s="36" t="s">
        <v>2</v>
      </c>
      <c r="J96" s="36" t="s">
        <v>677</v>
      </c>
      <c r="K96" s="46"/>
    </row>
    <row r="97" spans="1:14" x14ac:dyDescent="0.2">
      <c r="A97" s="5">
        <v>87</v>
      </c>
      <c r="B97" s="6" t="s">
        <v>111</v>
      </c>
      <c r="C97" s="6" t="s">
        <v>114</v>
      </c>
      <c r="D97" s="64" t="s">
        <v>731</v>
      </c>
      <c r="E97" s="65" t="s">
        <v>732</v>
      </c>
      <c r="F97" s="66">
        <v>29.65</v>
      </c>
      <c r="G97" s="67">
        <v>2930</v>
      </c>
      <c r="H97" s="53" t="s">
        <v>603</v>
      </c>
      <c r="I97" s="53" t="s">
        <v>2</v>
      </c>
      <c r="J97" s="53" t="s">
        <v>677</v>
      </c>
      <c r="K97" s="68"/>
    </row>
    <row r="98" spans="1:14" x14ac:dyDescent="0.2">
      <c r="A98" s="6">
        <v>88</v>
      </c>
      <c r="B98" s="6" t="s">
        <v>111</v>
      </c>
      <c r="C98" s="6" t="s">
        <v>114</v>
      </c>
      <c r="D98" s="69" t="s">
        <v>733</v>
      </c>
      <c r="E98" s="31" t="s">
        <v>734</v>
      </c>
      <c r="F98" s="70">
        <v>18</v>
      </c>
      <c r="G98" s="71">
        <v>2400</v>
      </c>
      <c r="H98" s="34" t="s">
        <v>603</v>
      </c>
      <c r="I98" s="34" t="s">
        <v>17</v>
      </c>
      <c r="J98" s="77" t="s">
        <v>26</v>
      </c>
      <c r="K98" s="72"/>
    </row>
    <row r="99" spans="1:14" x14ac:dyDescent="0.2">
      <c r="A99" s="5">
        <v>89</v>
      </c>
      <c r="B99" s="6" t="s">
        <v>111</v>
      </c>
      <c r="C99" s="6" t="s">
        <v>114</v>
      </c>
      <c r="D99" s="42" t="s">
        <v>735</v>
      </c>
      <c r="E99" s="38" t="s">
        <v>686</v>
      </c>
      <c r="F99" s="49">
        <v>18.7</v>
      </c>
      <c r="G99" s="63">
        <v>2930</v>
      </c>
      <c r="H99" s="36" t="s">
        <v>603</v>
      </c>
      <c r="I99" s="36" t="s">
        <v>3</v>
      </c>
      <c r="J99" s="36" t="s">
        <v>677</v>
      </c>
      <c r="K99" s="46"/>
    </row>
    <row r="100" spans="1:14" ht="30" x14ac:dyDescent="0.2">
      <c r="A100" s="5">
        <v>116</v>
      </c>
      <c r="B100" s="6" t="s">
        <v>116</v>
      </c>
      <c r="C100" s="6" t="s">
        <v>112</v>
      </c>
      <c r="D100" s="37" t="s">
        <v>736</v>
      </c>
      <c r="E100" s="38" t="s">
        <v>737</v>
      </c>
      <c r="F100" s="39">
        <v>41</v>
      </c>
      <c r="G100" s="78">
        <v>3000</v>
      </c>
      <c r="H100" s="36" t="s">
        <v>645</v>
      </c>
      <c r="I100" s="36" t="s">
        <v>37</v>
      </c>
      <c r="J100" s="36" t="s">
        <v>738</v>
      </c>
      <c r="K100" s="79"/>
    </row>
    <row r="101" spans="1:14" x14ac:dyDescent="0.2">
      <c r="A101" s="6">
        <v>118</v>
      </c>
      <c r="B101" s="6" t="s">
        <v>116</v>
      </c>
      <c r="C101" s="6" t="s">
        <v>112</v>
      </c>
      <c r="D101" s="37" t="s">
        <v>739</v>
      </c>
      <c r="E101" s="38" t="s">
        <v>737</v>
      </c>
      <c r="F101" s="39">
        <v>46.25</v>
      </c>
      <c r="G101" s="78">
        <v>3000</v>
      </c>
      <c r="H101" s="36" t="s">
        <v>645</v>
      </c>
      <c r="I101" s="36" t="s">
        <v>39</v>
      </c>
      <c r="J101" s="36" t="s">
        <v>738</v>
      </c>
      <c r="K101" s="79"/>
    </row>
    <row r="102" spans="1:14" x14ac:dyDescent="0.2">
      <c r="A102" s="5">
        <v>119</v>
      </c>
      <c r="B102" s="6" t="s">
        <v>116</v>
      </c>
      <c r="C102" s="6" t="s">
        <v>112</v>
      </c>
      <c r="D102" s="37" t="s">
        <v>740</v>
      </c>
      <c r="E102" s="38" t="s">
        <v>741</v>
      </c>
      <c r="F102" s="39">
        <v>24.95</v>
      </c>
      <c r="G102" s="78">
        <v>3000</v>
      </c>
      <c r="H102" s="36" t="s">
        <v>645</v>
      </c>
      <c r="I102" s="36" t="s">
        <v>39</v>
      </c>
      <c r="J102" s="36" t="s">
        <v>738</v>
      </c>
      <c r="K102" s="79"/>
    </row>
    <row r="103" spans="1:14" x14ac:dyDescent="0.2">
      <c r="A103" s="5">
        <v>120</v>
      </c>
      <c r="B103" s="6" t="s">
        <v>116</v>
      </c>
      <c r="C103" s="6" t="s">
        <v>112</v>
      </c>
      <c r="D103" s="37" t="s">
        <v>742</v>
      </c>
      <c r="E103" s="38" t="s">
        <v>743</v>
      </c>
      <c r="F103" s="39">
        <v>20.149999999999999</v>
      </c>
      <c r="G103" s="78">
        <v>3000</v>
      </c>
      <c r="H103" s="36" t="s">
        <v>645</v>
      </c>
      <c r="I103" s="36" t="s">
        <v>39</v>
      </c>
      <c r="J103" s="36" t="s">
        <v>738</v>
      </c>
      <c r="K103" s="79"/>
    </row>
    <row r="104" spans="1:14" x14ac:dyDescent="0.2">
      <c r="A104" s="5">
        <v>264</v>
      </c>
      <c r="B104" s="6" t="s">
        <v>116</v>
      </c>
      <c r="C104" s="6" t="s">
        <v>117</v>
      </c>
      <c r="D104" s="42" t="s">
        <v>744</v>
      </c>
      <c r="E104" s="38" t="s">
        <v>745</v>
      </c>
      <c r="F104" s="39">
        <v>121.5</v>
      </c>
      <c r="G104" s="78">
        <v>3365</v>
      </c>
      <c r="H104" s="36" t="s">
        <v>647</v>
      </c>
      <c r="I104" s="40" t="s">
        <v>84</v>
      </c>
      <c r="J104" s="36" t="s">
        <v>671</v>
      </c>
      <c r="K104" s="79"/>
    </row>
    <row r="105" spans="1:14" x14ac:dyDescent="0.2">
      <c r="A105" s="5">
        <v>263</v>
      </c>
      <c r="B105" s="6" t="s">
        <v>116</v>
      </c>
      <c r="C105" s="6" t="s">
        <v>117</v>
      </c>
      <c r="D105" s="42" t="s">
        <v>746</v>
      </c>
      <c r="E105" s="38" t="s">
        <v>747</v>
      </c>
      <c r="F105" s="39">
        <v>69.849999999999994</v>
      </c>
      <c r="G105" s="78">
        <v>3000</v>
      </c>
      <c r="H105" s="36" t="s">
        <v>649</v>
      </c>
      <c r="I105" s="36" t="s">
        <v>83</v>
      </c>
      <c r="J105" s="36" t="s">
        <v>738</v>
      </c>
      <c r="K105" s="79"/>
    </row>
    <row r="106" spans="1:14" x14ac:dyDescent="0.2">
      <c r="A106" s="6">
        <v>403</v>
      </c>
      <c r="B106" s="6" t="s">
        <v>119</v>
      </c>
      <c r="C106" s="6" t="s">
        <v>112</v>
      </c>
      <c r="D106" s="42" t="s">
        <v>748</v>
      </c>
      <c r="E106" s="38" t="s">
        <v>743</v>
      </c>
      <c r="F106" s="39">
        <v>18.149999999999999</v>
      </c>
      <c r="G106" s="80">
        <v>2400.2669999999998</v>
      </c>
      <c r="H106" s="36" t="s">
        <v>651</v>
      </c>
      <c r="I106" s="36" t="s">
        <v>34</v>
      </c>
      <c r="J106" s="36" t="s">
        <v>738</v>
      </c>
      <c r="K106" s="46"/>
    </row>
    <row r="107" spans="1:14" x14ac:dyDescent="0.2">
      <c r="A107" s="5">
        <v>404</v>
      </c>
      <c r="B107" s="6" t="s">
        <v>119</v>
      </c>
      <c r="C107" s="6" t="s">
        <v>112</v>
      </c>
      <c r="D107" s="42" t="s">
        <v>749</v>
      </c>
      <c r="E107" s="38" t="s">
        <v>750</v>
      </c>
      <c r="F107" s="39">
        <v>18.149999999999999</v>
      </c>
      <c r="G107" s="36" t="s">
        <v>751</v>
      </c>
      <c r="H107" s="36" t="s">
        <v>651</v>
      </c>
      <c r="I107" s="36" t="s">
        <v>34</v>
      </c>
      <c r="J107" s="36" t="s">
        <v>752</v>
      </c>
      <c r="K107" s="46"/>
    </row>
    <row r="108" spans="1:14" x14ac:dyDescent="0.2">
      <c r="A108" s="6">
        <v>442</v>
      </c>
      <c r="B108" s="6" t="s">
        <v>119</v>
      </c>
      <c r="C108" s="6" t="s">
        <v>113</v>
      </c>
      <c r="D108" s="42" t="s">
        <v>753</v>
      </c>
      <c r="E108" s="38" t="s">
        <v>754</v>
      </c>
      <c r="F108" s="52">
        <v>18.149999999999999</v>
      </c>
      <c r="G108" s="81">
        <v>2400.2669999999998</v>
      </c>
      <c r="H108" s="36" t="s">
        <v>755</v>
      </c>
      <c r="I108" s="36" t="s">
        <v>108</v>
      </c>
      <c r="J108" s="36" t="s">
        <v>756</v>
      </c>
      <c r="K108" s="46"/>
    </row>
    <row r="109" spans="1:14" x14ac:dyDescent="0.2">
      <c r="A109" s="5">
        <v>443</v>
      </c>
      <c r="B109" s="6" t="s">
        <v>119</v>
      </c>
      <c r="C109" s="6" t="s">
        <v>113</v>
      </c>
      <c r="D109" s="42" t="s">
        <v>757</v>
      </c>
      <c r="E109" s="38" t="s">
        <v>758</v>
      </c>
      <c r="F109" s="52">
        <v>18.149999999999999</v>
      </c>
      <c r="G109" s="81">
        <v>2400.2669999999998</v>
      </c>
      <c r="H109" s="36" t="s">
        <v>755</v>
      </c>
      <c r="I109" s="36" t="s">
        <v>34</v>
      </c>
      <c r="J109" s="36" t="s">
        <v>759</v>
      </c>
      <c r="K109" s="46"/>
    </row>
    <row r="110" spans="1:14" x14ac:dyDescent="0.2">
      <c r="A110" s="5">
        <v>482</v>
      </c>
      <c r="B110" s="6" t="s">
        <v>119</v>
      </c>
      <c r="C110" s="6" t="s">
        <v>114</v>
      </c>
      <c r="D110" s="42" t="s">
        <v>760</v>
      </c>
      <c r="E110" s="38" t="s">
        <v>754</v>
      </c>
      <c r="F110" s="49">
        <v>18.149999999999999</v>
      </c>
      <c r="G110" s="36" t="s">
        <v>761</v>
      </c>
      <c r="H110" s="36" t="s">
        <v>755</v>
      </c>
      <c r="I110" s="36" t="s">
        <v>34</v>
      </c>
      <c r="J110" s="36" t="s">
        <v>756</v>
      </c>
      <c r="K110" s="46"/>
      <c r="N110" s="6">
        <f>2.4*2.6</f>
        <v>6.24</v>
      </c>
    </row>
    <row r="111" spans="1:14" x14ac:dyDescent="0.2">
      <c r="A111" s="5">
        <v>483</v>
      </c>
      <c r="B111" s="6" t="s">
        <v>119</v>
      </c>
      <c r="C111" s="6" t="s">
        <v>114</v>
      </c>
      <c r="D111" s="42" t="s">
        <v>762</v>
      </c>
      <c r="E111" s="38" t="s">
        <v>758</v>
      </c>
      <c r="F111" s="49">
        <v>18.149999999999999</v>
      </c>
      <c r="G111" s="36" t="s">
        <v>761</v>
      </c>
      <c r="H111" s="36" t="s">
        <v>755</v>
      </c>
      <c r="I111" s="36" t="s">
        <v>34</v>
      </c>
      <c r="J111" s="36" t="s">
        <v>763</v>
      </c>
      <c r="K111" s="46"/>
    </row>
    <row r="112" spans="1:14" x14ac:dyDescent="0.2">
      <c r="A112" s="82">
        <v>296</v>
      </c>
      <c r="B112" s="83" t="s">
        <v>118</v>
      </c>
      <c r="C112" s="83" t="s">
        <v>112</v>
      </c>
      <c r="D112" s="84" t="s">
        <v>128</v>
      </c>
      <c r="E112" s="85" t="s">
        <v>129</v>
      </c>
      <c r="F112" s="86">
        <f t="shared" ref="F112:F143" si="0">41.7-6.24</f>
        <v>35.46</v>
      </c>
      <c r="G112" s="87">
        <v>2400.2669999999998</v>
      </c>
      <c r="H112" s="45" t="s">
        <v>225</v>
      </c>
      <c r="I112" s="45" t="s">
        <v>46</v>
      </c>
      <c r="J112" s="45" t="s">
        <v>130</v>
      </c>
      <c r="K112" s="88"/>
    </row>
    <row r="113" spans="1:11" x14ac:dyDescent="0.2">
      <c r="A113" s="82">
        <v>297</v>
      </c>
      <c r="B113" s="83" t="s">
        <v>118</v>
      </c>
      <c r="C113" s="83" t="s">
        <v>112</v>
      </c>
      <c r="D113" s="84" t="s">
        <v>131</v>
      </c>
      <c r="E113" s="85" t="s">
        <v>129</v>
      </c>
      <c r="F113" s="86">
        <f t="shared" si="0"/>
        <v>35.46</v>
      </c>
      <c r="G113" s="45" t="s">
        <v>132</v>
      </c>
      <c r="H113" s="45" t="s">
        <v>225</v>
      </c>
      <c r="I113" s="45" t="s">
        <v>94</v>
      </c>
      <c r="J113" s="45" t="s">
        <v>130</v>
      </c>
      <c r="K113" s="88"/>
    </row>
    <row r="114" spans="1:11" x14ac:dyDescent="0.2">
      <c r="A114" s="83">
        <v>298</v>
      </c>
      <c r="B114" s="83" t="s">
        <v>118</v>
      </c>
      <c r="C114" s="83" t="s">
        <v>112</v>
      </c>
      <c r="D114" s="84" t="s">
        <v>133</v>
      </c>
      <c r="E114" s="85" t="s">
        <v>129</v>
      </c>
      <c r="F114" s="86">
        <f t="shared" si="0"/>
        <v>35.46</v>
      </c>
      <c r="G114" s="87">
        <v>2400.2669999999998</v>
      </c>
      <c r="H114" s="45" t="s">
        <v>225</v>
      </c>
      <c r="I114" s="45" t="s">
        <v>46</v>
      </c>
      <c r="J114" s="45" t="s">
        <v>130</v>
      </c>
      <c r="K114" s="88"/>
    </row>
    <row r="115" spans="1:11" x14ac:dyDescent="0.2">
      <c r="A115" s="82">
        <v>299</v>
      </c>
      <c r="B115" s="83" t="s">
        <v>118</v>
      </c>
      <c r="C115" s="83" t="s">
        <v>112</v>
      </c>
      <c r="D115" s="84" t="s">
        <v>134</v>
      </c>
      <c r="E115" s="85" t="s">
        <v>129</v>
      </c>
      <c r="F115" s="86">
        <f t="shared" si="0"/>
        <v>35.46</v>
      </c>
      <c r="G115" s="87">
        <v>2400.2669999999998</v>
      </c>
      <c r="H115" s="45" t="s">
        <v>225</v>
      </c>
      <c r="I115" s="45" t="s">
        <v>46</v>
      </c>
      <c r="J115" s="45" t="s">
        <v>130</v>
      </c>
      <c r="K115" s="88"/>
    </row>
    <row r="116" spans="1:11" x14ac:dyDescent="0.2">
      <c r="A116" s="82">
        <v>300</v>
      </c>
      <c r="B116" s="83" t="s">
        <v>118</v>
      </c>
      <c r="C116" s="83" t="s">
        <v>112</v>
      </c>
      <c r="D116" s="84" t="s">
        <v>135</v>
      </c>
      <c r="E116" s="85" t="s">
        <v>129</v>
      </c>
      <c r="F116" s="86">
        <f t="shared" si="0"/>
        <v>35.46</v>
      </c>
      <c r="G116" s="87">
        <v>2400.2669999999998</v>
      </c>
      <c r="H116" s="45" t="s">
        <v>225</v>
      </c>
      <c r="I116" s="45" t="s">
        <v>94</v>
      </c>
      <c r="J116" s="45" t="s">
        <v>130</v>
      </c>
      <c r="K116" s="88"/>
    </row>
    <row r="117" spans="1:11" x14ac:dyDescent="0.2">
      <c r="A117" s="83">
        <v>301</v>
      </c>
      <c r="B117" s="83" t="s">
        <v>118</v>
      </c>
      <c r="C117" s="83" t="s">
        <v>112</v>
      </c>
      <c r="D117" s="84" t="s">
        <v>136</v>
      </c>
      <c r="E117" s="85" t="s">
        <v>129</v>
      </c>
      <c r="F117" s="86">
        <f t="shared" si="0"/>
        <v>35.46</v>
      </c>
      <c r="G117" s="45" t="s">
        <v>132</v>
      </c>
      <c r="H117" s="45" t="s">
        <v>225</v>
      </c>
      <c r="I117" s="45" t="s">
        <v>46</v>
      </c>
      <c r="J117" s="45" t="s">
        <v>130</v>
      </c>
      <c r="K117" s="88"/>
    </row>
    <row r="118" spans="1:11" x14ac:dyDescent="0.2">
      <c r="A118" s="82">
        <v>302</v>
      </c>
      <c r="B118" s="83" t="s">
        <v>118</v>
      </c>
      <c r="C118" s="83" t="s">
        <v>112</v>
      </c>
      <c r="D118" s="84" t="s">
        <v>137</v>
      </c>
      <c r="E118" s="85" t="s">
        <v>129</v>
      </c>
      <c r="F118" s="86">
        <f t="shared" si="0"/>
        <v>35.46</v>
      </c>
      <c r="G118" s="87">
        <v>2400.2669999999998</v>
      </c>
      <c r="H118" s="45" t="s">
        <v>225</v>
      </c>
      <c r="I118" s="45" t="s">
        <v>94</v>
      </c>
      <c r="J118" s="45" t="s">
        <v>130</v>
      </c>
      <c r="K118" s="88"/>
    </row>
    <row r="119" spans="1:11" x14ac:dyDescent="0.2">
      <c r="A119" s="82">
        <v>303</v>
      </c>
      <c r="B119" s="83" t="s">
        <v>118</v>
      </c>
      <c r="C119" s="83" t="s">
        <v>112</v>
      </c>
      <c r="D119" s="84" t="s">
        <v>138</v>
      </c>
      <c r="E119" s="85" t="s">
        <v>129</v>
      </c>
      <c r="F119" s="86">
        <f t="shared" si="0"/>
        <v>35.46</v>
      </c>
      <c r="G119" s="87">
        <v>2400.2669999999998</v>
      </c>
      <c r="H119" s="45" t="s">
        <v>225</v>
      </c>
      <c r="I119" s="45" t="s">
        <v>94</v>
      </c>
      <c r="J119" s="45" t="s">
        <v>130</v>
      </c>
      <c r="K119" s="88"/>
    </row>
    <row r="120" spans="1:11" x14ac:dyDescent="0.2">
      <c r="A120" s="83">
        <v>304</v>
      </c>
      <c r="B120" s="83" t="s">
        <v>118</v>
      </c>
      <c r="C120" s="83" t="s">
        <v>112</v>
      </c>
      <c r="D120" s="84" t="s">
        <v>139</v>
      </c>
      <c r="E120" s="85" t="s">
        <v>129</v>
      </c>
      <c r="F120" s="86">
        <f t="shared" si="0"/>
        <v>35.46</v>
      </c>
      <c r="G120" s="87">
        <v>2400.2669999999998</v>
      </c>
      <c r="H120" s="45" t="s">
        <v>225</v>
      </c>
      <c r="I120" s="45" t="s">
        <v>94</v>
      </c>
      <c r="J120" s="45" t="s">
        <v>130</v>
      </c>
      <c r="K120" s="88"/>
    </row>
    <row r="121" spans="1:11" x14ac:dyDescent="0.2">
      <c r="A121" s="82">
        <v>335</v>
      </c>
      <c r="B121" s="83" t="s">
        <v>118</v>
      </c>
      <c r="C121" s="83" t="s">
        <v>113</v>
      </c>
      <c r="D121" s="89" t="s">
        <v>140</v>
      </c>
      <c r="E121" s="90" t="s">
        <v>129</v>
      </c>
      <c r="F121" s="86">
        <f t="shared" si="0"/>
        <v>35.46</v>
      </c>
      <c r="G121" s="91">
        <v>2400.2669999999998</v>
      </c>
      <c r="H121" s="45" t="s">
        <v>225</v>
      </c>
      <c r="I121" s="92" t="s">
        <v>46</v>
      </c>
      <c r="J121" s="92" t="s">
        <v>130</v>
      </c>
      <c r="K121" s="93"/>
    </row>
    <row r="122" spans="1:11" x14ac:dyDescent="0.2">
      <c r="A122" s="82">
        <v>336</v>
      </c>
      <c r="B122" s="83" t="s">
        <v>118</v>
      </c>
      <c r="C122" s="83" t="s">
        <v>113</v>
      </c>
      <c r="D122" s="94" t="s">
        <v>141</v>
      </c>
      <c r="E122" s="95" t="s">
        <v>129</v>
      </c>
      <c r="F122" s="86">
        <f t="shared" si="0"/>
        <v>35.46</v>
      </c>
      <c r="G122" s="96">
        <v>2400.2669999999998</v>
      </c>
      <c r="H122" s="45" t="s">
        <v>225</v>
      </c>
      <c r="I122" s="97" t="s">
        <v>94</v>
      </c>
      <c r="J122" s="97" t="s">
        <v>130</v>
      </c>
      <c r="K122" s="98"/>
    </row>
    <row r="123" spans="1:11" x14ac:dyDescent="0.2">
      <c r="A123" s="83">
        <v>337</v>
      </c>
      <c r="B123" s="83" t="s">
        <v>118</v>
      </c>
      <c r="C123" s="83" t="s">
        <v>113</v>
      </c>
      <c r="D123" s="84" t="s">
        <v>142</v>
      </c>
      <c r="E123" s="85" t="s">
        <v>129</v>
      </c>
      <c r="F123" s="86">
        <f t="shared" si="0"/>
        <v>35.46</v>
      </c>
      <c r="G123" s="87">
        <v>2400.2669999999998</v>
      </c>
      <c r="H123" s="45" t="s">
        <v>225</v>
      </c>
      <c r="I123" s="45" t="s">
        <v>46</v>
      </c>
      <c r="J123" s="45" t="s">
        <v>130</v>
      </c>
      <c r="K123" s="99"/>
    </row>
    <row r="124" spans="1:11" x14ac:dyDescent="0.2">
      <c r="A124" s="82">
        <v>338</v>
      </c>
      <c r="B124" s="83" t="s">
        <v>118</v>
      </c>
      <c r="C124" s="83" t="s">
        <v>113</v>
      </c>
      <c r="D124" s="84" t="s">
        <v>143</v>
      </c>
      <c r="E124" s="85" t="s">
        <v>129</v>
      </c>
      <c r="F124" s="86">
        <f t="shared" si="0"/>
        <v>35.46</v>
      </c>
      <c r="G124" s="45" t="s">
        <v>132</v>
      </c>
      <c r="H124" s="45" t="s">
        <v>225</v>
      </c>
      <c r="I124" s="45" t="s">
        <v>46</v>
      </c>
      <c r="J124" s="45" t="s">
        <v>130</v>
      </c>
      <c r="K124" s="99"/>
    </row>
    <row r="125" spans="1:11" x14ac:dyDescent="0.2">
      <c r="A125" s="82">
        <v>339</v>
      </c>
      <c r="B125" s="83" t="s">
        <v>118</v>
      </c>
      <c r="C125" s="83" t="s">
        <v>113</v>
      </c>
      <c r="D125" s="84" t="s">
        <v>144</v>
      </c>
      <c r="E125" s="85" t="s">
        <v>129</v>
      </c>
      <c r="F125" s="86">
        <f t="shared" si="0"/>
        <v>35.46</v>
      </c>
      <c r="G125" s="87">
        <v>2400.2669999999998</v>
      </c>
      <c r="H125" s="45" t="s">
        <v>225</v>
      </c>
      <c r="I125" s="45" t="s">
        <v>94</v>
      </c>
      <c r="J125" s="45" t="s">
        <v>130</v>
      </c>
      <c r="K125" s="99"/>
    </row>
    <row r="126" spans="1:11" x14ac:dyDescent="0.2">
      <c r="A126" s="83">
        <v>340</v>
      </c>
      <c r="B126" s="83" t="s">
        <v>118</v>
      </c>
      <c r="C126" s="83" t="s">
        <v>113</v>
      </c>
      <c r="D126" s="84" t="s">
        <v>145</v>
      </c>
      <c r="E126" s="85" t="s">
        <v>129</v>
      </c>
      <c r="F126" s="86">
        <f t="shared" si="0"/>
        <v>35.46</v>
      </c>
      <c r="G126" s="87">
        <v>2400.2669999999998</v>
      </c>
      <c r="H126" s="45" t="s">
        <v>225</v>
      </c>
      <c r="I126" s="45" t="s">
        <v>46</v>
      </c>
      <c r="J126" s="45" t="s">
        <v>130</v>
      </c>
      <c r="K126" s="99"/>
    </row>
    <row r="127" spans="1:11" x14ac:dyDescent="0.2">
      <c r="A127" s="82">
        <v>341</v>
      </c>
      <c r="B127" s="83" t="s">
        <v>118</v>
      </c>
      <c r="C127" s="83" t="s">
        <v>113</v>
      </c>
      <c r="D127" s="84" t="s">
        <v>146</v>
      </c>
      <c r="E127" s="85" t="s">
        <v>129</v>
      </c>
      <c r="F127" s="86">
        <f t="shared" si="0"/>
        <v>35.46</v>
      </c>
      <c r="G127" s="87">
        <v>2400.2669999999998</v>
      </c>
      <c r="H127" s="45" t="s">
        <v>225</v>
      </c>
      <c r="I127" s="45" t="s">
        <v>94</v>
      </c>
      <c r="J127" s="45" t="s">
        <v>130</v>
      </c>
      <c r="K127" s="99"/>
    </row>
    <row r="128" spans="1:11" x14ac:dyDescent="0.2">
      <c r="A128" s="82">
        <v>342</v>
      </c>
      <c r="B128" s="83" t="s">
        <v>118</v>
      </c>
      <c r="C128" s="83" t="s">
        <v>113</v>
      </c>
      <c r="D128" s="84" t="s">
        <v>147</v>
      </c>
      <c r="E128" s="85" t="s">
        <v>129</v>
      </c>
      <c r="F128" s="86">
        <f t="shared" si="0"/>
        <v>35.46</v>
      </c>
      <c r="G128" s="45" t="s">
        <v>132</v>
      </c>
      <c r="H128" s="45" t="s">
        <v>225</v>
      </c>
      <c r="I128" s="45" t="s">
        <v>94</v>
      </c>
      <c r="J128" s="45" t="s">
        <v>130</v>
      </c>
      <c r="K128" s="99"/>
    </row>
    <row r="129" spans="1:11" x14ac:dyDescent="0.2">
      <c r="A129" s="83">
        <v>343</v>
      </c>
      <c r="B129" s="83" t="s">
        <v>118</v>
      </c>
      <c r="C129" s="83" t="s">
        <v>113</v>
      </c>
      <c r="D129" s="84" t="s">
        <v>148</v>
      </c>
      <c r="E129" s="85" t="s">
        <v>129</v>
      </c>
      <c r="F129" s="86">
        <f t="shared" si="0"/>
        <v>35.46</v>
      </c>
      <c r="G129" s="87">
        <v>2400.2669999999998</v>
      </c>
      <c r="H129" s="45" t="s">
        <v>225</v>
      </c>
      <c r="I129" s="45" t="s">
        <v>46</v>
      </c>
      <c r="J129" s="45" t="s">
        <v>130</v>
      </c>
      <c r="K129" s="99"/>
    </row>
    <row r="130" spans="1:11" x14ac:dyDescent="0.2">
      <c r="A130" s="82">
        <v>371</v>
      </c>
      <c r="B130" s="83" t="s">
        <v>118</v>
      </c>
      <c r="C130" s="83" t="s">
        <v>114</v>
      </c>
      <c r="D130" s="84" t="s">
        <v>153</v>
      </c>
      <c r="E130" s="85" t="s">
        <v>129</v>
      </c>
      <c r="F130" s="86">
        <f t="shared" si="0"/>
        <v>35.46</v>
      </c>
      <c r="G130" s="45" t="s">
        <v>132</v>
      </c>
      <c r="H130" s="45" t="s">
        <v>225</v>
      </c>
      <c r="I130" s="45" t="s">
        <v>94</v>
      </c>
      <c r="J130" s="45" t="s">
        <v>130</v>
      </c>
      <c r="K130" s="88"/>
    </row>
    <row r="131" spans="1:11" x14ac:dyDescent="0.2">
      <c r="A131" s="82">
        <v>372</v>
      </c>
      <c r="B131" s="83" t="s">
        <v>118</v>
      </c>
      <c r="C131" s="83" t="s">
        <v>114</v>
      </c>
      <c r="D131" s="84" t="s">
        <v>154</v>
      </c>
      <c r="E131" s="85" t="s">
        <v>129</v>
      </c>
      <c r="F131" s="86">
        <f t="shared" si="0"/>
        <v>35.46</v>
      </c>
      <c r="G131" s="87">
        <v>2400.2669999999998</v>
      </c>
      <c r="H131" s="45" t="s">
        <v>225</v>
      </c>
      <c r="I131" s="45" t="s">
        <v>46</v>
      </c>
      <c r="J131" s="45" t="s">
        <v>130</v>
      </c>
      <c r="K131" s="88"/>
    </row>
    <row r="132" spans="1:11" x14ac:dyDescent="0.2">
      <c r="A132" s="83">
        <v>373</v>
      </c>
      <c r="B132" s="83" t="s">
        <v>118</v>
      </c>
      <c r="C132" s="83" t="s">
        <v>114</v>
      </c>
      <c r="D132" s="84" t="s">
        <v>155</v>
      </c>
      <c r="E132" s="85" t="s">
        <v>129</v>
      </c>
      <c r="F132" s="86">
        <f t="shared" si="0"/>
        <v>35.46</v>
      </c>
      <c r="G132" s="45" t="s">
        <v>132</v>
      </c>
      <c r="H132" s="45" t="s">
        <v>225</v>
      </c>
      <c r="I132" s="45" t="s">
        <v>94</v>
      </c>
      <c r="J132" s="45" t="s">
        <v>130</v>
      </c>
      <c r="K132" s="88"/>
    </row>
    <row r="133" spans="1:11" x14ac:dyDescent="0.2">
      <c r="A133" s="82">
        <v>407</v>
      </c>
      <c r="B133" s="83" t="s">
        <v>119</v>
      </c>
      <c r="C133" s="83" t="s">
        <v>112</v>
      </c>
      <c r="D133" s="84" t="s">
        <v>158</v>
      </c>
      <c r="E133" s="85" t="s">
        <v>129</v>
      </c>
      <c r="F133" s="86">
        <f t="shared" si="0"/>
        <v>35.46</v>
      </c>
      <c r="G133" s="87">
        <v>2400.2669999999998</v>
      </c>
      <c r="H133" s="45" t="s">
        <v>225</v>
      </c>
      <c r="I133" s="45" t="s">
        <v>94</v>
      </c>
      <c r="J133" s="45" t="s">
        <v>130</v>
      </c>
      <c r="K133" s="88"/>
    </row>
    <row r="134" spans="1:11" x14ac:dyDescent="0.2">
      <c r="A134" s="82">
        <v>408</v>
      </c>
      <c r="B134" s="83" t="s">
        <v>119</v>
      </c>
      <c r="C134" s="83" t="s">
        <v>112</v>
      </c>
      <c r="D134" s="84" t="s">
        <v>159</v>
      </c>
      <c r="E134" s="85" t="s">
        <v>129</v>
      </c>
      <c r="F134" s="86">
        <f t="shared" si="0"/>
        <v>35.46</v>
      </c>
      <c r="G134" s="87">
        <v>2400.2669999999998</v>
      </c>
      <c r="H134" s="45" t="s">
        <v>225</v>
      </c>
      <c r="I134" s="45" t="s">
        <v>46</v>
      </c>
      <c r="J134" s="45" t="s">
        <v>130</v>
      </c>
      <c r="K134" s="88"/>
    </row>
    <row r="135" spans="1:11" x14ac:dyDescent="0.2">
      <c r="A135" s="83">
        <v>409</v>
      </c>
      <c r="B135" s="83" t="s">
        <v>119</v>
      </c>
      <c r="C135" s="83" t="s">
        <v>112</v>
      </c>
      <c r="D135" s="84" t="s">
        <v>160</v>
      </c>
      <c r="E135" s="85" t="s">
        <v>129</v>
      </c>
      <c r="F135" s="86">
        <f t="shared" si="0"/>
        <v>35.46</v>
      </c>
      <c r="G135" s="87">
        <v>2400.2669999999998</v>
      </c>
      <c r="H135" s="45" t="s">
        <v>225</v>
      </c>
      <c r="I135" s="45" t="s">
        <v>46</v>
      </c>
      <c r="J135" s="45" t="s">
        <v>130</v>
      </c>
      <c r="K135" s="88"/>
    </row>
    <row r="136" spans="1:11" x14ac:dyDescent="0.2">
      <c r="A136" s="82">
        <v>410</v>
      </c>
      <c r="B136" s="83" t="s">
        <v>119</v>
      </c>
      <c r="C136" s="83" t="s">
        <v>112</v>
      </c>
      <c r="D136" s="84" t="s">
        <v>161</v>
      </c>
      <c r="E136" s="85" t="s">
        <v>129</v>
      </c>
      <c r="F136" s="86">
        <f t="shared" si="0"/>
        <v>35.46</v>
      </c>
      <c r="G136" s="87">
        <v>2400.2669999999998</v>
      </c>
      <c r="H136" s="45" t="s">
        <v>225</v>
      </c>
      <c r="I136" s="45" t="s">
        <v>94</v>
      </c>
      <c r="J136" s="45" t="s">
        <v>130</v>
      </c>
      <c r="K136" s="88"/>
    </row>
    <row r="137" spans="1:11" x14ac:dyDescent="0.2">
      <c r="A137" s="82">
        <v>411</v>
      </c>
      <c r="B137" s="83" t="s">
        <v>119</v>
      </c>
      <c r="C137" s="83" t="s">
        <v>112</v>
      </c>
      <c r="D137" s="84" t="s">
        <v>162</v>
      </c>
      <c r="E137" s="85" t="s">
        <v>129</v>
      </c>
      <c r="F137" s="86">
        <f t="shared" si="0"/>
        <v>35.46</v>
      </c>
      <c r="G137" s="87">
        <v>2400.2669999999998</v>
      </c>
      <c r="H137" s="45" t="s">
        <v>225</v>
      </c>
      <c r="I137" s="45" t="s">
        <v>46</v>
      </c>
      <c r="J137" s="45" t="s">
        <v>130</v>
      </c>
      <c r="K137" s="88"/>
    </row>
    <row r="138" spans="1:11" x14ac:dyDescent="0.2">
      <c r="A138" s="83">
        <v>412</v>
      </c>
      <c r="B138" s="83" t="s">
        <v>119</v>
      </c>
      <c r="C138" s="83" t="s">
        <v>112</v>
      </c>
      <c r="D138" s="84" t="s">
        <v>163</v>
      </c>
      <c r="E138" s="85" t="s">
        <v>129</v>
      </c>
      <c r="F138" s="86">
        <f t="shared" si="0"/>
        <v>35.46</v>
      </c>
      <c r="G138" s="87">
        <v>2400.2669999999998</v>
      </c>
      <c r="H138" s="45" t="s">
        <v>225</v>
      </c>
      <c r="I138" s="45" t="s">
        <v>94</v>
      </c>
      <c r="J138" s="45" t="s">
        <v>130</v>
      </c>
      <c r="K138" s="88"/>
    </row>
    <row r="139" spans="1:11" x14ac:dyDescent="0.2">
      <c r="A139" s="82">
        <v>413</v>
      </c>
      <c r="B139" s="83" t="s">
        <v>119</v>
      </c>
      <c r="C139" s="83" t="s">
        <v>112</v>
      </c>
      <c r="D139" s="84" t="s">
        <v>164</v>
      </c>
      <c r="E139" s="85" t="s">
        <v>129</v>
      </c>
      <c r="F139" s="86">
        <f t="shared" si="0"/>
        <v>35.46</v>
      </c>
      <c r="G139" s="87">
        <v>2400.2669999999998</v>
      </c>
      <c r="H139" s="45" t="s">
        <v>225</v>
      </c>
      <c r="I139" s="45" t="s">
        <v>94</v>
      </c>
      <c r="J139" s="45" t="s">
        <v>130</v>
      </c>
      <c r="K139" s="88"/>
    </row>
    <row r="140" spans="1:11" x14ac:dyDescent="0.2">
      <c r="A140" s="82">
        <v>414</v>
      </c>
      <c r="B140" s="83" t="s">
        <v>119</v>
      </c>
      <c r="C140" s="83" t="s">
        <v>112</v>
      </c>
      <c r="D140" s="84" t="s">
        <v>165</v>
      </c>
      <c r="E140" s="85" t="s">
        <v>129</v>
      </c>
      <c r="F140" s="86">
        <f t="shared" si="0"/>
        <v>35.46</v>
      </c>
      <c r="G140" s="87">
        <v>2400.2669999999998</v>
      </c>
      <c r="H140" s="45" t="s">
        <v>225</v>
      </c>
      <c r="I140" s="45" t="s">
        <v>94</v>
      </c>
      <c r="J140" s="45" t="s">
        <v>130</v>
      </c>
      <c r="K140" s="88"/>
    </row>
    <row r="141" spans="1:11" x14ac:dyDescent="0.2">
      <c r="A141" s="82">
        <v>446</v>
      </c>
      <c r="B141" s="83" t="s">
        <v>119</v>
      </c>
      <c r="C141" s="83" t="s">
        <v>113</v>
      </c>
      <c r="D141" s="84" t="s">
        <v>166</v>
      </c>
      <c r="E141" s="85" t="s">
        <v>129</v>
      </c>
      <c r="F141" s="86">
        <f t="shared" si="0"/>
        <v>35.46</v>
      </c>
      <c r="G141" s="87">
        <v>2400.2669999999998</v>
      </c>
      <c r="H141" s="45" t="s">
        <v>225</v>
      </c>
      <c r="I141" s="45" t="s">
        <v>46</v>
      </c>
      <c r="J141" s="45" t="s">
        <v>130</v>
      </c>
      <c r="K141" s="88"/>
    </row>
    <row r="142" spans="1:11" x14ac:dyDescent="0.2">
      <c r="A142" s="82">
        <v>447</v>
      </c>
      <c r="B142" s="83" t="s">
        <v>119</v>
      </c>
      <c r="C142" s="83" t="s">
        <v>113</v>
      </c>
      <c r="D142" s="84" t="s">
        <v>167</v>
      </c>
      <c r="E142" s="85" t="s">
        <v>129</v>
      </c>
      <c r="F142" s="86">
        <f t="shared" si="0"/>
        <v>35.46</v>
      </c>
      <c r="G142" s="45" t="s">
        <v>132</v>
      </c>
      <c r="H142" s="45" t="s">
        <v>225</v>
      </c>
      <c r="I142" s="45" t="s">
        <v>94</v>
      </c>
      <c r="J142" s="45" t="s">
        <v>130</v>
      </c>
      <c r="K142" s="88"/>
    </row>
    <row r="143" spans="1:11" x14ac:dyDescent="0.2">
      <c r="A143" s="83">
        <v>448</v>
      </c>
      <c r="B143" s="83" t="s">
        <v>119</v>
      </c>
      <c r="C143" s="83" t="s">
        <v>113</v>
      </c>
      <c r="D143" s="84" t="s">
        <v>168</v>
      </c>
      <c r="E143" s="85" t="s">
        <v>129</v>
      </c>
      <c r="F143" s="86">
        <f t="shared" si="0"/>
        <v>35.46</v>
      </c>
      <c r="G143" s="87">
        <v>2400.2669999999998</v>
      </c>
      <c r="H143" s="45" t="s">
        <v>225</v>
      </c>
      <c r="I143" s="45" t="s">
        <v>46</v>
      </c>
      <c r="J143" s="45" t="s">
        <v>130</v>
      </c>
      <c r="K143" s="88"/>
    </row>
    <row r="144" spans="1:11" x14ac:dyDescent="0.2">
      <c r="A144" s="82">
        <v>449</v>
      </c>
      <c r="B144" s="83" t="s">
        <v>119</v>
      </c>
      <c r="C144" s="83" t="s">
        <v>113</v>
      </c>
      <c r="D144" s="84" t="s">
        <v>169</v>
      </c>
      <c r="E144" s="85" t="s">
        <v>129</v>
      </c>
      <c r="F144" s="86">
        <f t="shared" ref="F144:F180" si="1">41.7-6.24</f>
        <v>35.46</v>
      </c>
      <c r="G144" s="87">
        <v>2400.2669999999998</v>
      </c>
      <c r="H144" s="45" t="s">
        <v>225</v>
      </c>
      <c r="I144" s="45" t="s">
        <v>46</v>
      </c>
      <c r="J144" s="45" t="s">
        <v>130</v>
      </c>
      <c r="K144" s="88"/>
    </row>
    <row r="145" spans="1:11" x14ac:dyDescent="0.2">
      <c r="A145" s="82">
        <v>450</v>
      </c>
      <c r="B145" s="83" t="s">
        <v>119</v>
      </c>
      <c r="C145" s="83" t="s">
        <v>113</v>
      </c>
      <c r="D145" s="84" t="s">
        <v>170</v>
      </c>
      <c r="E145" s="85" t="s">
        <v>129</v>
      </c>
      <c r="F145" s="86">
        <f t="shared" si="1"/>
        <v>35.46</v>
      </c>
      <c r="G145" s="87">
        <v>2400.2669999999998</v>
      </c>
      <c r="H145" s="45" t="s">
        <v>225</v>
      </c>
      <c r="I145" s="45" t="s">
        <v>46</v>
      </c>
      <c r="J145" s="45" t="s">
        <v>130</v>
      </c>
      <c r="K145" s="88"/>
    </row>
    <row r="146" spans="1:11" x14ac:dyDescent="0.2">
      <c r="A146" s="83">
        <v>451</v>
      </c>
      <c r="B146" s="83" t="s">
        <v>119</v>
      </c>
      <c r="C146" s="83" t="s">
        <v>113</v>
      </c>
      <c r="D146" s="84" t="s">
        <v>171</v>
      </c>
      <c r="E146" s="85" t="s">
        <v>129</v>
      </c>
      <c r="F146" s="86">
        <f t="shared" si="1"/>
        <v>35.46</v>
      </c>
      <c r="G146" s="45" t="s">
        <v>132</v>
      </c>
      <c r="H146" s="45" t="s">
        <v>225</v>
      </c>
      <c r="I146" s="45" t="s">
        <v>94</v>
      </c>
      <c r="J146" s="45" t="s">
        <v>130</v>
      </c>
      <c r="K146" s="88"/>
    </row>
    <row r="147" spans="1:11" x14ac:dyDescent="0.2">
      <c r="A147" s="82">
        <v>452</v>
      </c>
      <c r="B147" s="83" t="s">
        <v>119</v>
      </c>
      <c r="C147" s="83" t="s">
        <v>113</v>
      </c>
      <c r="D147" s="84" t="s">
        <v>172</v>
      </c>
      <c r="E147" s="85" t="s">
        <v>129</v>
      </c>
      <c r="F147" s="86">
        <f t="shared" si="1"/>
        <v>35.46</v>
      </c>
      <c r="G147" s="87">
        <v>2400.2669999999998</v>
      </c>
      <c r="H147" s="45" t="s">
        <v>225</v>
      </c>
      <c r="I147" s="45" t="s">
        <v>94</v>
      </c>
      <c r="J147" s="45" t="s">
        <v>130</v>
      </c>
      <c r="K147" s="88"/>
    </row>
    <row r="148" spans="1:11" x14ac:dyDescent="0.2">
      <c r="A148" s="82">
        <v>453</v>
      </c>
      <c r="B148" s="83" t="s">
        <v>119</v>
      </c>
      <c r="C148" s="83" t="s">
        <v>113</v>
      </c>
      <c r="D148" s="84" t="s">
        <v>173</v>
      </c>
      <c r="E148" s="85" t="s">
        <v>129</v>
      </c>
      <c r="F148" s="86">
        <f t="shared" si="1"/>
        <v>35.46</v>
      </c>
      <c r="G148" s="87">
        <v>2400.2669999999998</v>
      </c>
      <c r="H148" s="45" t="s">
        <v>225</v>
      </c>
      <c r="I148" s="45" t="s">
        <v>46</v>
      </c>
      <c r="J148" s="45" t="s">
        <v>130</v>
      </c>
      <c r="K148" s="88"/>
    </row>
    <row r="149" spans="1:11" x14ac:dyDescent="0.2">
      <c r="A149" s="82">
        <v>489</v>
      </c>
      <c r="B149" s="83" t="s">
        <v>119</v>
      </c>
      <c r="C149" s="83" t="s">
        <v>114</v>
      </c>
      <c r="D149" s="84" t="s">
        <v>178</v>
      </c>
      <c r="E149" s="85" t="s">
        <v>129</v>
      </c>
      <c r="F149" s="86">
        <f t="shared" si="1"/>
        <v>35.46</v>
      </c>
      <c r="G149" s="45" t="s">
        <v>132</v>
      </c>
      <c r="H149" s="45" t="s">
        <v>225</v>
      </c>
      <c r="I149" s="45" t="s">
        <v>46</v>
      </c>
      <c r="J149" s="45" t="s">
        <v>130</v>
      </c>
      <c r="K149" s="88"/>
    </row>
    <row r="150" spans="1:11" x14ac:dyDescent="0.2">
      <c r="A150" s="83">
        <v>490</v>
      </c>
      <c r="B150" s="83" t="s">
        <v>119</v>
      </c>
      <c r="C150" s="83" t="s">
        <v>114</v>
      </c>
      <c r="D150" s="84" t="s">
        <v>179</v>
      </c>
      <c r="E150" s="85" t="s">
        <v>176</v>
      </c>
      <c r="F150" s="86">
        <f t="shared" si="1"/>
        <v>35.46</v>
      </c>
      <c r="G150" s="87">
        <v>2400.2669999999998</v>
      </c>
      <c r="H150" s="45" t="s">
        <v>225</v>
      </c>
      <c r="I150" s="45" t="s">
        <v>46</v>
      </c>
      <c r="J150" s="45" t="s">
        <v>130</v>
      </c>
      <c r="K150" s="88"/>
    </row>
    <row r="151" spans="1:11" x14ac:dyDescent="0.2">
      <c r="A151" s="82">
        <v>491</v>
      </c>
      <c r="B151" s="83" t="s">
        <v>119</v>
      </c>
      <c r="C151" s="83" t="s">
        <v>114</v>
      </c>
      <c r="D151" s="84" t="s">
        <v>180</v>
      </c>
      <c r="E151" s="85" t="s">
        <v>129</v>
      </c>
      <c r="F151" s="86">
        <f t="shared" si="1"/>
        <v>35.46</v>
      </c>
      <c r="G151" s="45" t="s">
        <v>132</v>
      </c>
      <c r="H151" s="45" t="s">
        <v>225</v>
      </c>
      <c r="I151" s="45" t="s">
        <v>94</v>
      </c>
      <c r="J151" s="45" t="s">
        <v>130</v>
      </c>
      <c r="K151" s="88"/>
    </row>
    <row r="152" spans="1:11" x14ac:dyDescent="0.2">
      <c r="A152" s="82">
        <v>492</v>
      </c>
      <c r="B152" s="83" t="s">
        <v>119</v>
      </c>
      <c r="C152" s="83" t="s">
        <v>114</v>
      </c>
      <c r="D152" s="84" t="s">
        <v>181</v>
      </c>
      <c r="E152" s="85" t="s">
        <v>176</v>
      </c>
      <c r="F152" s="86">
        <f t="shared" si="1"/>
        <v>35.46</v>
      </c>
      <c r="G152" s="87">
        <v>2400.2669999999998</v>
      </c>
      <c r="H152" s="45" t="s">
        <v>225</v>
      </c>
      <c r="I152" s="45" t="s">
        <v>94</v>
      </c>
      <c r="J152" s="45" t="s">
        <v>130</v>
      </c>
      <c r="K152" s="88"/>
    </row>
    <row r="153" spans="1:11" x14ac:dyDescent="0.2">
      <c r="A153" s="83">
        <v>493</v>
      </c>
      <c r="B153" s="83" t="s">
        <v>119</v>
      </c>
      <c r="C153" s="83" t="s">
        <v>114</v>
      </c>
      <c r="D153" s="84" t="s">
        <v>182</v>
      </c>
      <c r="E153" s="85" t="s">
        <v>129</v>
      </c>
      <c r="F153" s="86">
        <f t="shared" si="1"/>
        <v>35.46</v>
      </c>
      <c r="G153" s="45" t="s">
        <v>132</v>
      </c>
      <c r="H153" s="45" t="s">
        <v>225</v>
      </c>
      <c r="I153" s="45" t="s">
        <v>94</v>
      </c>
      <c r="J153" s="45" t="s">
        <v>130</v>
      </c>
      <c r="K153" s="88"/>
    </row>
    <row r="154" spans="1:11" x14ac:dyDescent="0.2">
      <c r="A154" s="82">
        <v>524</v>
      </c>
      <c r="B154" s="83" t="s">
        <v>120</v>
      </c>
      <c r="C154" s="83" t="s">
        <v>112</v>
      </c>
      <c r="D154" s="84" t="s">
        <v>183</v>
      </c>
      <c r="E154" s="85" t="s">
        <v>129</v>
      </c>
      <c r="F154" s="86">
        <f t="shared" si="1"/>
        <v>35.46</v>
      </c>
      <c r="G154" s="45" t="s">
        <v>132</v>
      </c>
      <c r="H154" s="45" t="s">
        <v>225</v>
      </c>
      <c r="I154" s="45" t="s">
        <v>46</v>
      </c>
      <c r="J154" s="45" t="s">
        <v>130</v>
      </c>
      <c r="K154" s="99"/>
    </row>
    <row r="155" spans="1:11" x14ac:dyDescent="0.2">
      <c r="A155" s="82">
        <v>525</v>
      </c>
      <c r="B155" s="83" t="s">
        <v>120</v>
      </c>
      <c r="C155" s="83" t="s">
        <v>112</v>
      </c>
      <c r="D155" s="89" t="s">
        <v>184</v>
      </c>
      <c r="E155" s="90" t="s">
        <v>129</v>
      </c>
      <c r="F155" s="86">
        <f t="shared" si="1"/>
        <v>35.46</v>
      </c>
      <c r="G155" s="92" t="s">
        <v>132</v>
      </c>
      <c r="H155" s="45" t="s">
        <v>225</v>
      </c>
      <c r="I155" s="92" t="s">
        <v>94</v>
      </c>
      <c r="J155" s="92" t="s">
        <v>130</v>
      </c>
      <c r="K155" s="93"/>
    </row>
    <row r="156" spans="1:11" x14ac:dyDescent="0.2">
      <c r="A156" s="83">
        <v>526</v>
      </c>
      <c r="B156" s="83" t="s">
        <v>120</v>
      </c>
      <c r="C156" s="83" t="s">
        <v>112</v>
      </c>
      <c r="D156" s="94" t="s">
        <v>185</v>
      </c>
      <c r="E156" s="95" t="s">
        <v>129</v>
      </c>
      <c r="F156" s="86">
        <f t="shared" si="1"/>
        <v>35.46</v>
      </c>
      <c r="G156" s="97" t="s">
        <v>132</v>
      </c>
      <c r="H156" s="45" t="s">
        <v>225</v>
      </c>
      <c r="I156" s="97" t="s">
        <v>46</v>
      </c>
      <c r="J156" s="97" t="s">
        <v>130</v>
      </c>
      <c r="K156" s="98"/>
    </row>
    <row r="157" spans="1:11" x14ac:dyDescent="0.2">
      <c r="A157" s="82">
        <v>527</v>
      </c>
      <c r="B157" s="83" t="s">
        <v>120</v>
      </c>
      <c r="C157" s="83" t="s">
        <v>112</v>
      </c>
      <c r="D157" s="84" t="s">
        <v>186</v>
      </c>
      <c r="E157" s="85" t="s">
        <v>129</v>
      </c>
      <c r="F157" s="86">
        <f t="shared" si="1"/>
        <v>35.46</v>
      </c>
      <c r="G157" s="45" t="s">
        <v>132</v>
      </c>
      <c r="H157" s="45" t="s">
        <v>225</v>
      </c>
      <c r="I157" s="45" t="s">
        <v>46</v>
      </c>
      <c r="J157" s="45" t="s">
        <v>130</v>
      </c>
      <c r="K157" s="99"/>
    </row>
    <row r="158" spans="1:11" x14ac:dyDescent="0.2">
      <c r="A158" s="82">
        <v>528</v>
      </c>
      <c r="B158" s="83" t="s">
        <v>120</v>
      </c>
      <c r="C158" s="83" t="s">
        <v>112</v>
      </c>
      <c r="D158" s="84" t="s">
        <v>187</v>
      </c>
      <c r="E158" s="85" t="s">
        <v>129</v>
      </c>
      <c r="F158" s="86">
        <f t="shared" si="1"/>
        <v>35.46</v>
      </c>
      <c r="G158" s="45" t="s">
        <v>132</v>
      </c>
      <c r="H158" s="45" t="s">
        <v>225</v>
      </c>
      <c r="I158" s="45" t="s">
        <v>94</v>
      </c>
      <c r="J158" s="45" t="s">
        <v>130</v>
      </c>
      <c r="K158" s="99"/>
    </row>
    <row r="159" spans="1:11" x14ac:dyDescent="0.2">
      <c r="A159" s="83">
        <v>529</v>
      </c>
      <c r="B159" s="83" t="s">
        <v>120</v>
      </c>
      <c r="C159" s="83" t="s">
        <v>112</v>
      </c>
      <c r="D159" s="84" t="s">
        <v>188</v>
      </c>
      <c r="E159" s="85" t="s">
        <v>129</v>
      </c>
      <c r="F159" s="86">
        <f t="shared" si="1"/>
        <v>35.46</v>
      </c>
      <c r="G159" s="45" t="s">
        <v>132</v>
      </c>
      <c r="H159" s="45" t="s">
        <v>225</v>
      </c>
      <c r="I159" s="45" t="s">
        <v>46</v>
      </c>
      <c r="J159" s="45" t="s">
        <v>130</v>
      </c>
      <c r="K159" s="99"/>
    </row>
    <row r="160" spans="1:11" x14ac:dyDescent="0.2">
      <c r="A160" s="82">
        <v>530</v>
      </c>
      <c r="B160" s="83" t="s">
        <v>120</v>
      </c>
      <c r="C160" s="83" t="s">
        <v>112</v>
      </c>
      <c r="D160" s="84" t="s">
        <v>189</v>
      </c>
      <c r="E160" s="85" t="s">
        <v>129</v>
      </c>
      <c r="F160" s="86">
        <f t="shared" si="1"/>
        <v>35.46</v>
      </c>
      <c r="G160" s="45" t="s">
        <v>132</v>
      </c>
      <c r="H160" s="45" t="s">
        <v>225</v>
      </c>
      <c r="I160" s="45" t="s">
        <v>94</v>
      </c>
      <c r="J160" s="45" t="s">
        <v>130</v>
      </c>
      <c r="K160" s="99"/>
    </row>
    <row r="161" spans="1:11" x14ac:dyDescent="0.2">
      <c r="A161" s="82">
        <v>531</v>
      </c>
      <c r="B161" s="83" t="s">
        <v>120</v>
      </c>
      <c r="C161" s="83" t="s">
        <v>112</v>
      </c>
      <c r="D161" s="84" t="s">
        <v>190</v>
      </c>
      <c r="E161" s="85" t="s">
        <v>129</v>
      </c>
      <c r="F161" s="86">
        <f t="shared" si="1"/>
        <v>35.46</v>
      </c>
      <c r="G161" s="45" t="s">
        <v>132</v>
      </c>
      <c r="H161" s="45" t="s">
        <v>225</v>
      </c>
      <c r="I161" s="45" t="s">
        <v>94</v>
      </c>
      <c r="J161" s="45" t="s">
        <v>130</v>
      </c>
      <c r="K161" s="99"/>
    </row>
    <row r="162" spans="1:11" x14ac:dyDescent="0.2">
      <c r="A162" s="83">
        <v>532</v>
      </c>
      <c r="B162" s="83" t="s">
        <v>120</v>
      </c>
      <c r="C162" s="83" t="s">
        <v>112</v>
      </c>
      <c r="D162" s="84" t="s">
        <v>191</v>
      </c>
      <c r="E162" s="85" t="s">
        <v>129</v>
      </c>
      <c r="F162" s="86">
        <f t="shared" si="1"/>
        <v>35.46</v>
      </c>
      <c r="G162" s="45" t="s">
        <v>132</v>
      </c>
      <c r="H162" s="45" t="s">
        <v>225</v>
      </c>
      <c r="I162" s="45" t="s">
        <v>94</v>
      </c>
      <c r="J162" s="45" t="s">
        <v>130</v>
      </c>
      <c r="K162" s="99"/>
    </row>
    <row r="163" spans="1:11" x14ac:dyDescent="0.2">
      <c r="A163" s="82">
        <v>563</v>
      </c>
      <c r="B163" s="83" t="s">
        <v>120</v>
      </c>
      <c r="C163" s="83" t="s">
        <v>113</v>
      </c>
      <c r="D163" s="84" t="s">
        <v>192</v>
      </c>
      <c r="E163" s="85" t="s">
        <v>176</v>
      </c>
      <c r="F163" s="86">
        <f t="shared" si="1"/>
        <v>35.46</v>
      </c>
      <c r="G163" s="87">
        <v>2400.2669999999998</v>
      </c>
      <c r="H163" s="45" t="s">
        <v>225</v>
      </c>
      <c r="I163" s="45" t="s">
        <v>46</v>
      </c>
      <c r="J163" s="45" t="s">
        <v>130</v>
      </c>
      <c r="K163" s="88"/>
    </row>
    <row r="164" spans="1:11" x14ac:dyDescent="0.2">
      <c r="A164" s="82">
        <v>564</v>
      </c>
      <c r="B164" s="83" t="s">
        <v>120</v>
      </c>
      <c r="C164" s="83" t="s">
        <v>113</v>
      </c>
      <c r="D164" s="84" t="s">
        <v>193</v>
      </c>
      <c r="E164" s="85" t="s">
        <v>176</v>
      </c>
      <c r="F164" s="86">
        <f t="shared" si="1"/>
        <v>35.46</v>
      </c>
      <c r="G164" s="87">
        <v>2400.2669999999998</v>
      </c>
      <c r="H164" s="45" t="s">
        <v>225</v>
      </c>
      <c r="I164" s="45" t="s">
        <v>94</v>
      </c>
      <c r="J164" s="45" t="s">
        <v>130</v>
      </c>
      <c r="K164" s="88"/>
    </row>
    <row r="165" spans="1:11" x14ac:dyDescent="0.2">
      <c r="A165" s="83">
        <v>565</v>
      </c>
      <c r="B165" s="83" t="s">
        <v>120</v>
      </c>
      <c r="C165" s="83" t="s">
        <v>113</v>
      </c>
      <c r="D165" s="84" t="s">
        <v>194</v>
      </c>
      <c r="E165" s="85" t="s">
        <v>176</v>
      </c>
      <c r="F165" s="86">
        <f t="shared" si="1"/>
        <v>35.46</v>
      </c>
      <c r="G165" s="87">
        <v>2400.2669999999998</v>
      </c>
      <c r="H165" s="45" t="s">
        <v>225</v>
      </c>
      <c r="I165" s="45" t="s">
        <v>46</v>
      </c>
      <c r="J165" s="45" t="s">
        <v>130</v>
      </c>
      <c r="K165" s="88"/>
    </row>
    <row r="166" spans="1:11" x14ac:dyDescent="0.2">
      <c r="A166" s="82">
        <v>566</v>
      </c>
      <c r="B166" s="83" t="s">
        <v>120</v>
      </c>
      <c r="C166" s="83" t="s">
        <v>113</v>
      </c>
      <c r="D166" s="84" t="s">
        <v>195</v>
      </c>
      <c r="E166" s="85" t="s">
        <v>176</v>
      </c>
      <c r="F166" s="86">
        <f t="shared" si="1"/>
        <v>35.46</v>
      </c>
      <c r="G166" s="87">
        <v>2400.2669999999998</v>
      </c>
      <c r="H166" s="45" t="s">
        <v>225</v>
      </c>
      <c r="I166" s="45" t="s">
        <v>46</v>
      </c>
      <c r="J166" s="45" t="s">
        <v>130</v>
      </c>
      <c r="K166" s="88"/>
    </row>
    <row r="167" spans="1:11" x14ac:dyDescent="0.2">
      <c r="A167" s="82">
        <v>567</v>
      </c>
      <c r="B167" s="83" t="s">
        <v>120</v>
      </c>
      <c r="C167" s="83" t="s">
        <v>113</v>
      </c>
      <c r="D167" s="84" t="s">
        <v>196</v>
      </c>
      <c r="E167" s="85" t="s">
        <v>176</v>
      </c>
      <c r="F167" s="86">
        <f t="shared" si="1"/>
        <v>35.46</v>
      </c>
      <c r="G167" s="87">
        <v>2400.2669999999998</v>
      </c>
      <c r="H167" s="45" t="s">
        <v>225</v>
      </c>
      <c r="I167" s="45" t="s">
        <v>94</v>
      </c>
      <c r="J167" s="45" t="s">
        <v>130</v>
      </c>
      <c r="K167" s="88"/>
    </row>
    <row r="168" spans="1:11" x14ac:dyDescent="0.2">
      <c r="A168" s="83">
        <v>568</v>
      </c>
      <c r="B168" s="83" t="s">
        <v>120</v>
      </c>
      <c r="C168" s="83" t="s">
        <v>113</v>
      </c>
      <c r="D168" s="84" t="s">
        <v>197</v>
      </c>
      <c r="E168" s="85" t="s">
        <v>176</v>
      </c>
      <c r="F168" s="86">
        <f t="shared" si="1"/>
        <v>35.46</v>
      </c>
      <c r="G168" s="87">
        <v>2400.2669999999998</v>
      </c>
      <c r="H168" s="45" t="s">
        <v>225</v>
      </c>
      <c r="I168" s="45" t="s">
        <v>46</v>
      </c>
      <c r="J168" s="45" t="s">
        <v>130</v>
      </c>
      <c r="K168" s="88"/>
    </row>
    <row r="169" spans="1:11" x14ac:dyDescent="0.2">
      <c r="A169" s="82">
        <v>569</v>
      </c>
      <c r="B169" s="83" t="s">
        <v>120</v>
      </c>
      <c r="C169" s="83" t="s">
        <v>113</v>
      </c>
      <c r="D169" s="84" t="s">
        <v>198</v>
      </c>
      <c r="E169" s="85" t="s">
        <v>176</v>
      </c>
      <c r="F169" s="86">
        <f t="shared" si="1"/>
        <v>35.46</v>
      </c>
      <c r="G169" s="87">
        <v>2400.2669999999998</v>
      </c>
      <c r="H169" s="45" t="s">
        <v>225</v>
      </c>
      <c r="I169" s="45" t="s">
        <v>94</v>
      </c>
      <c r="J169" s="45" t="s">
        <v>130</v>
      </c>
      <c r="K169" s="88"/>
    </row>
    <row r="170" spans="1:11" x14ac:dyDescent="0.2">
      <c r="A170" s="82">
        <v>570</v>
      </c>
      <c r="B170" s="83" t="s">
        <v>120</v>
      </c>
      <c r="C170" s="83" t="s">
        <v>113</v>
      </c>
      <c r="D170" s="84" t="s">
        <v>199</v>
      </c>
      <c r="E170" s="85" t="s">
        <v>176</v>
      </c>
      <c r="F170" s="86">
        <f t="shared" si="1"/>
        <v>35.46</v>
      </c>
      <c r="G170" s="87">
        <v>2400.2669999999998</v>
      </c>
      <c r="H170" s="45" t="s">
        <v>225</v>
      </c>
      <c r="I170" s="45" t="s">
        <v>94</v>
      </c>
      <c r="J170" s="45" t="s">
        <v>130</v>
      </c>
      <c r="K170" s="88"/>
    </row>
    <row r="171" spans="1:11" x14ac:dyDescent="0.2">
      <c r="A171" s="83">
        <v>571</v>
      </c>
      <c r="B171" s="83" t="s">
        <v>120</v>
      </c>
      <c r="C171" s="83" t="s">
        <v>113</v>
      </c>
      <c r="D171" s="84" t="s">
        <v>200</v>
      </c>
      <c r="E171" s="85" t="s">
        <v>176</v>
      </c>
      <c r="F171" s="86">
        <f t="shared" si="1"/>
        <v>35.46</v>
      </c>
      <c r="G171" s="87">
        <v>2400.2669999999998</v>
      </c>
      <c r="H171" s="45" t="s">
        <v>225</v>
      </c>
      <c r="I171" s="45" t="s">
        <v>46</v>
      </c>
      <c r="J171" s="45" t="s">
        <v>130</v>
      </c>
      <c r="K171" s="88"/>
    </row>
    <row r="172" spans="1:11" x14ac:dyDescent="0.2">
      <c r="A172" s="82">
        <v>602</v>
      </c>
      <c r="B172" s="83" t="s">
        <v>120</v>
      </c>
      <c r="C172" s="83" t="s">
        <v>114</v>
      </c>
      <c r="D172" s="84" t="s">
        <v>201</v>
      </c>
      <c r="E172" s="85" t="s">
        <v>176</v>
      </c>
      <c r="F172" s="86">
        <f t="shared" si="1"/>
        <v>35.46</v>
      </c>
      <c r="G172" s="45" t="s">
        <v>132</v>
      </c>
      <c r="H172" s="45" t="s">
        <v>225</v>
      </c>
      <c r="I172" s="45" t="s">
        <v>94</v>
      </c>
      <c r="J172" s="45" t="s">
        <v>130</v>
      </c>
      <c r="K172" s="88"/>
    </row>
    <row r="173" spans="1:11" x14ac:dyDescent="0.2">
      <c r="A173" s="82">
        <v>603</v>
      </c>
      <c r="B173" s="83" t="s">
        <v>120</v>
      </c>
      <c r="C173" s="83" t="s">
        <v>114</v>
      </c>
      <c r="D173" s="84" t="s">
        <v>202</v>
      </c>
      <c r="E173" s="85" t="s">
        <v>176</v>
      </c>
      <c r="F173" s="86">
        <f t="shared" si="1"/>
        <v>35.46</v>
      </c>
      <c r="G173" s="45" t="s">
        <v>132</v>
      </c>
      <c r="H173" s="45" t="s">
        <v>225</v>
      </c>
      <c r="I173" s="45" t="s">
        <v>46</v>
      </c>
      <c r="J173" s="45" t="s">
        <v>130</v>
      </c>
      <c r="K173" s="88"/>
    </row>
    <row r="174" spans="1:11" x14ac:dyDescent="0.2">
      <c r="A174" s="83">
        <v>604</v>
      </c>
      <c r="B174" s="83" t="s">
        <v>120</v>
      </c>
      <c r="C174" s="83" t="s">
        <v>114</v>
      </c>
      <c r="D174" s="84" t="s">
        <v>203</v>
      </c>
      <c r="E174" s="85" t="s">
        <v>176</v>
      </c>
      <c r="F174" s="86">
        <f t="shared" si="1"/>
        <v>35.46</v>
      </c>
      <c r="G174" s="45" t="s">
        <v>132</v>
      </c>
      <c r="H174" s="45" t="s">
        <v>225</v>
      </c>
      <c r="I174" s="45" t="s">
        <v>94</v>
      </c>
      <c r="J174" s="45" t="s">
        <v>130</v>
      </c>
      <c r="K174" s="88"/>
    </row>
    <row r="175" spans="1:11" x14ac:dyDescent="0.2">
      <c r="A175" s="82">
        <v>605</v>
      </c>
      <c r="B175" s="83" t="s">
        <v>120</v>
      </c>
      <c r="C175" s="83" t="s">
        <v>114</v>
      </c>
      <c r="D175" s="84" t="s">
        <v>204</v>
      </c>
      <c r="E175" s="85" t="s">
        <v>176</v>
      </c>
      <c r="F175" s="86">
        <f t="shared" si="1"/>
        <v>35.46</v>
      </c>
      <c r="G175" s="45" t="s">
        <v>132</v>
      </c>
      <c r="H175" s="45" t="s">
        <v>225</v>
      </c>
      <c r="I175" s="45" t="s">
        <v>46</v>
      </c>
      <c r="J175" s="45" t="s">
        <v>130</v>
      </c>
      <c r="K175" s="88"/>
    </row>
    <row r="176" spans="1:11" x14ac:dyDescent="0.2">
      <c r="A176" s="82">
        <v>606</v>
      </c>
      <c r="B176" s="83" t="s">
        <v>120</v>
      </c>
      <c r="C176" s="83" t="s">
        <v>114</v>
      </c>
      <c r="D176" s="84" t="s">
        <v>205</v>
      </c>
      <c r="E176" s="85" t="s">
        <v>176</v>
      </c>
      <c r="F176" s="86">
        <f t="shared" si="1"/>
        <v>35.46</v>
      </c>
      <c r="G176" s="45" t="s">
        <v>132</v>
      </c>
      <c r="H176" s="45" t="s">
        <v>225</v>
      </c>
      <c r="I176" s="45" t="s">
        <v>46</v>
      </c>
      <c r="J176" s="45" t="s">
        <v>130</v>
      </c>
      <c r="K176" s="88"/>
    </row>
    <row r="177" spans="1:11" x14ac:dyDescent="0.2">
      <c r="A177" s="83">
        <v>607</v>
      </c>
      <c r="B177" s="83" t="s">
        <v>120</v>
      </c>
      <c r="C177" s="83" t="s">
        <v>114</v>
      </c>
      <c r="D177" s="84" t="s">
        <v>206</v>
      </c>
      <c r="E177" s="85" t="s">
        <v>176</v>
      </c>
      <c r="F177" s="86">
        <f t="shared" si="1"/>
        <v>35.46</v>
      </c>
      <c r="G177" s="45" t="s">
        <v>132</v>
      </c>
      <c r="H177" s="45" t="s">
        <v>225</v>
      </c>
      <c r="I177" s="45" t="s">
        <v>94</v>
      </c>
      <c r="J177" s="45" t="s">
        <v>130</v>
      </c>
      <c r="K177" s="88"/>
    </row>
    <row r="178" spans="1:11" x14ac:dyDescent="0.2">
      <c r="A178" s="82">
        <v>608</v>
      </c>
      <c r="B178" s="83" t="s">
        <v>120</v>
      </c>
      <c r="C178" s="83" t="s">
        <v>114</v>
      </c>
      <c r="D178" s="84" t="s">
        <v>207</v>
      </c>
      <c r="E178" s="85" t="s">
        <v>176</v>
      </c>
      <c r="F178" s="86">
        <f t="shared" si="1"/>
        <v>35.46</v>
      </c>
      <c r="G178" s="45" t="s">
        <v>132</v>
      </c>
      <c r="H178" s="45" t="s">
        <v>225</v>
      </c>
      <c r="I178" s="45" t="s">
        <v>46</v>
      </c>
      <c r="J178" s="45" t="s">
        <v>130</v>
      </c>
      <c r="K178" s="88"/>
    </row>
    <row r="179" spans="1:11" x14ac:dyDescent="0.2">
      <c r="A179" s="82">
        <v>609</v>
      </c>
      <c r="B179" s="83" t="s">
        <v>120</v>
      </c>
      <c r="C179" s="83" t="s">
        <v>114</v>
      </c>
      <c r="D179" s="84" t="s">
        <v>208</v>
      </c>
      <c r="E179" s="85" t="s">
        <v>176</v>
      </c>
      <c r="F179" s="86">
        <f t="shared" si="1"/>
        <v>35.46</v>
      </c>
      <c r="G179" s="45" t="s">
        <v>132</v>
      </c>
      <c r="H179" s="45" t="s">
        <v>225</v>
      </c>
      <c r="I179" s="45" t="s">
        <v>94</v>
      </c>
      <c r="J179" s="45" t="s">
        <v>130</v>
      </c>
      <c r="K179" s="88"/>
    </row>
    <row r="180" spans="1:11" x14ac:dyDescent="0.2">
      <c r="A180" s="83">
        <v>610</v>
      </c>
      <c r="B180" s="83" t="s">
        <v>120</v>
      </c>
      <c r="C180" s="83" t="s">
        <v>114</v>
      </c>
      <c r="D180" s="84" t="s">
        <v>209</v>
      </c>
      <c r="E180" s="85" t="s">
        <v>176</v>
      </c>
      <c r="F180" s="86">
        <f t="shared" si="1"/>
        <v>35.46</v>
      </c>
      <c r="G180" s="45" t="s">
        <v>132</v>
      </c>
      <c r="H180" s="45" t="s">
        <v>225</v>
      </c>
      <c r="I180" s="45" t="s">
        <v>94</v>
      </c>
      <c r="J180" s="45" t="s">
        <v>130</v>
      </c>
      <c r="K180" s="88"/>
    </row>
    <row r="181" spans="1:11" x14ac:dyDescent="0.2">
      <c r="A181" s="82">
        <v>374</v>
      </c>
      <c r="B181" s="83" t="s">
        <v>118</v>
      </c>
      <c r="C181" s="83" t="s">
        <v>114</v>
      </c>
      <c r="D181" s="84" t="s">
        <v>156</v>
      </c>
      <c r="E181" s="85" t="s">
        <v>129</v>
      </c>
      <c r="F181" s="86">
        <v>14.5</v>
      </c>
      <c r="G181" s="87">
        <v>2400.2669999999998</v>
      </c>
      <c r="H181" s="45" t="s">
        <v>225</v>
      </c>
      <c r="I181" s="45" t="s">
        <v>94</v>
      </c>
      <c r="J181" s="45" t="s">
        <v>130</v>
      </c>
      <c r="K181" s="88"/>
    </row>
    <row r="182" spans="1:11" x14ac:dyDescent="0.2">
      <c r="A182" s="82">
        <v>296</v>
      </c>
      <c r="B182" s="83" t="s">
        <v>118</v>
      </c>
      <c r="C182" s="83" t="s">
        <v>112</v>
      </c>
      <c r="D182" s="84" t="s">
        <v>128</v>
      </c>
      <c r="E182" s="85" t="s">
        <v>129</v>
      </c>
      <c r="F182" s="86">
        <f t="shared" ref="F182:F213" si="2">2.4*2.6</f>
        <v>6.24</v>
      </c>
      <c r="G182" s="87">
        <v>2400.2669999999998</v>
      </c>
      <c r="H182" s="45" t="s">
        <v>224</v>
      </c>
      <c r="I182" s="45" t="s">
        <v>46</v>
      </c>
      <c r="J182" s="45" t="s">
        <v>130</v>
      </c>
      <c r="K182" s="88"/>
    </row>
    <row r="183" spans="1:11" x14ac:dyDescent="0.2">
      <c r="A183" s="82">
        <v>297</v>
      </c>
      <c r="B183" s="83" t="s">
        <v>118</v>
      </c>
      <c r="C183" s="83" t="s">
        <v>112</v>
      </c>
      <c r="D183" s="84" t="s">
        <v>131</v>
      </c>
      <c r="E183" s="85" t="s">
        <v>129</v>
      </c>
      <c r="F183" s="86">
        <f t="shared" si="2"/>
        <v>6.24</v>
      </c>
      <c r="G183" s="45" t="s">
        <v>132</v>
      </c>
      <c r="H183" s="45" t="s">
        <v>224</v>
      </c>
      <c r="I183" s="45" t="s">
        <v>94</v>
      </c>
      <c r="J183" s="45" t="s">
        <v>130</v>
      </c>
      <c r="K183" s="88"/>
    </row>
    <row r="184" spans="1:11" x14ac:dyDescent="0.2">
      <c r="A184" s="83">
        <v>298</v>
      </c>
      <c r="B184" s="83" t="s">
        <v>118</v>
      </c>
      <c r="C184" s="83" t="s">
        <v>112</v>
      </c>
      <c r="D184" s="84" t="s">
        <v>133</v>
      </c>
      <c r="E184" s="85" t="s">
        <v>129</v>
      </c>
      <c r="F184" s="86">
        <f t="shared" si="2"/>
        <v>6.24</v>
      </c>
      <c r="G184" s="87">
        <v>2400.2669999999998</v>
      </c>
      <c r="H184" s="45" t="s">
        <v>224</v>
      </c>
      <c r="I184" s="45" t="s">
        <v>46</v>
      </c>
      <c r="J184" s="45" t="s">
        <v>130</v>
      </c>
      <c r="K184" s="88"/>
    </row>
    <row r="185" spans="1:11" x14ac:dyDescent="0.2">
      <c r="A185" s="82">
        <v>299</v>
      </c>
      <c r="B185" s="83" t="s">
        <v>118</v>
      </c>
      <c r="C185" s="83" t="s">
        <v>112</v>
      </c>
      <c r="D185" s="84" t="s">
        <v>134</v>
      </c>
      <c r="E185" s="85" t="s">
        <v>129</v>
      </c>
      <c r="F185" s="86">
        <f t="shared" si="2"/>
        <v>6.24</v>
      </c>
      <c r="G185" s="87">
        <v>2400.2669999999998</v>
      </c>
      <c r="H185" s="45" t="s">
        <v>224</v>
      </c>
      <c r="I185" s="45" t="s">
        <v>46</v>
      </c>
      <c r="J185" s="45" t="s">
        <v>130</v>
      </c>
      <c r="K185" s="88"/>
    </row>
    <row r="186" spans="1:11" x14ac:dyDescent="0.2">
      <c r="A186" s="82">
        <v>300</v>
      </c>
      <c r="B186" s="83" t="s">
        <v>118</v>
      </c>
      <c r="C186" s="83" t="s">
        <v>112</v>
      </c>
      <c r="D186" s="84" t="s">
        <v>135</v>
      </c>
      <c r="E186" s="85" t="s">
        <v>129</v>
      </c>
      <c r="F186" s="86">
        <f t="shared" si="2"/>
        <v>6.24</v>
      </c>
      <c r="G186" s="87">
        <v>2400.2669999999998</v>
      </c>
      <c r="H186" s="45" t="s">
        <v>224</v>
      </c>
      <c r="I186" s="45" t="s">
        <v>94</v>
      </c>
      <c r="J186" s="45" t="s">
        <v>130</v>
      </c>
      <c r="K186" s="88"/>
    </row>
    <row r="187" spans="1:11" x14ac:dyDescent="0.2">
      <c r="A187" s="83">
        <v>301</v>
      </c>
      <c r="B187" s="83" t="s">
        <v>118</v>
      </c>
      <c r="C187" s="83" t="s">
        <v>112</v>
      </c>
      <c r="D187" s="84" t="s">
        <v>136</v>
      </c>
      <c r="E187" s="85" t="s">
        <v>129</v>
      </c>
      <c r="F187" s="86">
        <f t="shared" si="2"/>
        <v>6.24</v>
      </c>
      <c r="G187" s="45" t="s">
        <v>132</v>
      </c>
      <c r="H187" s="45" t="s">
        <v>224</v>
      </c>
      <c r="I187" s="45" t="s">
        <v>46</v>
      </c>
      <c r="J187" s="45" t="s">
        <v>130</v>
      </c>
      <c r="K187" s="88"/>
    </row>
    <row r="188" spans="1:11" x14ac:dyDescent="0.2">
      <c r="A188" s="82">
        <v>302</v>
      </c>
      <c r="B188" s="83" t="s">
        <v>118</v>
      </c>
      <c r="C188" s="83" t="s">
        <v>112</v>
      </c>
      <c r="D188" s="84" t="s">
        <v>137</v>
      </c>
      <c r="E188" s="85" t="s">
        <v>129</v>
      </c>
      <c r="F188" s="86">
        <f t="shared" si="2"/>
        <v>6.24</v>
      </c>
      <c r="G188" s="87">
        <v>2400.2669999999998</v>
      </c>
      <c r="H188" s="45" t="s">
        <v>224</v>
      </c>
      <c r="I188" s="45" t="s">
        <v>94</v>
      </c>
      <c r="J188" s="45" t="s">
        <v>130</v>
      </c>
      <c r="K188" s="88"/>
    </row>
    <row r="189" spans="1:11" x14ac:dyDescent="0.2">
      <c r="A189" s="82">
        <v>303</v>
      </c>
      <c r="B189" s="83" t="s">
        <v>118</v>
      </c>
      <c r="C189" s="83" t="s">
        <v>112</v>
      </c>
      <c r="D189" s="84" t="s">
        <v>138</v>
      </c>
      <c r="E189" s="85" t="s">
        <v>129</v>
      </c>
      <c r="F189" s="86">
        <f t="shared" si="2"/>
        <v>6.24</v>
      </c>
      <c r="G189" s="87">
        <v>2400.2669999999998</v>
      </c>
      <c r="H189" s="45" t="s">
        <v>224</v>
      </c>
      <c r="I189" s="45" t="s">
        <v>94</v>
      </c>
      <c r="J189" s="45" t="s">
        <v>130</v>
      </c>
      <c r="K189" s="88"/>
    </row>
    <row r="190" spans="1:11" x14ac:dyDescent="0.2">
      <c r="A190" s="83">
        <v>304</v>
      </c>
      <c r="B190" s="83" t="s">
        <v>118</v>
      </c>
      <c r="C190" s="83" t="s">
        <v>112</v>
      </c>
      <c r="D190" s="89" t="s">
        <v>139</v>
      </c>
      <c r="E190" s="90" t="s">
        <v>129</v>
      </c>
      <c r="F190" s="86">
        <f t="shared" si="2"/>
        <v>6.24</v>
      </c>
      <c r="G190" s="91">
        <v>2400.2669999999998</v>
      </c>
      <c r="H190" s="45" t="s">
        <v>224</v>
      </c>
      <c r="I190" s="92" t="s">
        <v>94</v>
      </c>
      <c r="J190" s="92" t="s">
        <v>130</v>
      </c>
      <c r="K190" s="100"/>
    </row>
    <row r="191" spans="1:11" x14ac:dyDescent="0.2">
      <c r="A191" s="82">
        <v>335</v>
      </c>
      <c r="B191" s="83" t="s">
        <v>118</v>
      </c>
      <c r="C191" s="83" t="s">
        <v>113</v>
      </c>
      <c r="D191" s="94" t="s">
        <v>140</v>
      </c>
      <c r="E191" s="95" t="s">
        <v>129</v>
      </c>
      <c r="F191" s="86">
        <f t="shared" si="2"/>
        <v>6.24</v>
      </c>
      <c r="G191" s="96">
        <v>2400.2669999999998</v>
      </c>
      <c r="H191" s="45" t="s">
        <v>224</v>
      </c>
      <c r="I191" s="97" t="s">
        <v>46</v>
      </c>
      <c r="J191" s="97" t="s">
        <v>130</v>
      </c>
      <c r="K191" s="98"/>
    </row>
    <row r="192" spans="1:11" x14ac:dyDescent="0.2">
      <c r="A192" s="82">
        <v>336</v>
      </c>
      <c r="B192" s="83" t="s">
        <v>118</v>
      </c>
      <c r="C192" s="83" t="s">
        <v>113</v>
      </c>
      <c r="D192" s="84" t="s">
        <v>141</v>
      </c>
      <c r="E192" s="85" t="s">
        <v>129</v>
      </c>
      <c r="F192" s="86">
        <f t="shared" si="2"/>
        <v>6.24</v>
      </c>
      <c r="G192" s="87">
        <v>2400.2669999999998</v>
      </c>
      <c r="H192" s="45" t="s">
        <v>224</v>
      </c>
      <c r="I192" s="45" t="s">
        <v>94</v>
      </c>
      <c r="J192" s="45" t="s">
        <v>130</v>
      </c>
      <c r="K192" s="99"/>
    </row>
    <row r="193" spans="1:11" x14ac:dyDescent="0.2">
      <c r="A193" s="83">
        <v>337</v>
      </c>
      <c r="B193" s="83" t="s">
        <v>118</v>
      </c>
      <c r="C193" s="83" t="s">
        <v>113</v>
      </c>
      <c r="D193" s="84" t="s">
        <v>142</v>
      </c>
      <c r="E193" s="85" t="s">
        <v>129</v>
      </c>
      <c r="F193" s="86">
        <f t="shared" si="2"/>
        <v>6.24</v>
      </c>
      <c r="G193" s="87">
        <v>2400.2669999999998</v>
      </c>
      <c r="H193" s="45" t="s">
        <v>224</v>
      </c>
      <c r="I193" s="45" t="s">
        <v>46</v>
      </c>
      <c r="J193" s="45" t="s">
        <v>130</v>
      </c>
      <c r="K193" s="99"/>
    </row>
    <row r="194" spans="1:11" x14ac:dyDescent="0.2">
      <c r="A194" s="82">
        <v>338</v>
      </c>
      <c r="B194" s="83" t="s">
        <v>118</v>
      </c>
      <c r="C194" s="83" t="s">
        <v>113</v>
      </c>
      <c r="D194" s="84" t="s">
        <v>143</v>
      </c>
      <c r="E194" s="85" t="s">
        <v>129</v>
      </c>
      <c r="F194" s="86">
        <f t="shared" si="2"/>
        <v>6.24</v>
      </c>
      <c r="G194" s="45" t="s">
        <v>132</v>
      </c>
      <c r="H194" s="45" t="s">
        <v>224</v>
      </c>
      <c r="I194" s="45" t="s">
        <v>46</v>
      </c>
      <c r="J194" s="45" t="s">
        <v>130</v>
      </c>
      <c r="K194" s="99"/>
    </row>
    <row r="195" spans="1:11" x14ac:dyDescent="0.2">
      <c r="A195" s="82">
        <v>339</v>
      </c>
      <c r="B195" s="83" t="s">
        <v>118</v>
      </c>
      <c r="C195" s="83" t="s">
        <v>113</v>
      </c>
      <c r="D195" s="84" t="s">
        <v>144</v>
      </c>
      <c r="E195" s="85" t="s">
        <v>129</v>
      </c>
      <c r="F195" s="86">
        <f t="shared" si="2"/>
        <v>6.24</v>
      </c>
      <c r="G195" s="87">
        <v>2400.2669999999998</v>
      </c>
      <c r="H195" s="45" t="s">
        <v>224</v>
      </c>
      <c r="I195" s="45" t="s">
        <v>94</v>
      </c>
      <c r="J195" s="45" t="s">
        <v>130</v>
      </c>
      <c r="K195" s="99"/>
    </row>
    <row r="196" spans="1:11" x14ac:dyDescent="0.2">
      <c r="A196" s="83">
        <v>340</v>
      </c>
      <c r="B196" s="83" t="s">
        <v>118</v>
      </c>
      <c r="C196" s="83" t="s">
        <v>113</v>
      </c>
      <c r="D196" s="84" t="s">
        <v>145</v>
      </c>
      <c r="E196" s="85" t="s">
        <v>129</v>
      </c>
      <c r="F196" s="86">
        <f t="shared" si="2"/>
        <v>6.24</v>
      </c>
      <c r="G196" s="87">
        <v>2400.2669999999998</v>
      </c>
      <c r="H196" s="45" t="s">
        <v>224</v>
      </c>
      <c r="I196" s="45" t="s">
        <v>46</v>
      </c>
      <c r="J196" s="45" t="s">
        <v>130</v>
      </c>
      <c r="K196" s="99"/>
    </row>
    <row r="197" spans="1:11" x14ac:dyDescent="0.2">
      <c r="A197" s="82">
        <v>341</v>
      </c>
      <c r="B197" s="83" t="s">
        <v>118</v>
      </c>
      <c r="C197" s="83" t="s">
        <v>113</v>
      </c>
      <c r="D197" s="84" t="s">
        <v>146</v>
      </c>
      <c r="E197" s="85" t="s">
        <v>129</v>
      </c>
      <c r="F197" s="86">
        <f t="shared" si="2"/>
        <v>6.24</v>
      </c>
      <c r="G197" s="87">
        <v>2400.2669999999998</v>
      </c>
      <c r="H197" s="45" t="s">
        <v>224</v>
      </c>
      <c r="I197" s="45" t="s">
        <v>94</v>
      </c>
      <c r="J197" s="45" t="s">
        <v>130</v>
      </c>
      <c r="K197" s="99"/>
    </row>
    <row r="198" spans="1:11" x14ac:dyDescent="0.2">
      <c r="A198" s="82">
        <v>342</v>
      </c>
      <c r="B198" s="83" t="s">
        <v>118</v>
      </c>
      <c r="C198" s="83" t="s">
        <v>113</v>
      </c>
      <c r="D198" s="84" t="s">
        <v>147</v>
      </c>
      <c r="E198" s="85" t="s">
        <v>129</v>
      </c>
      <c r="F198" s="86">
        <f t="shared" si="2"/>
        <v>6.24</v>
      </c>
      <c r="G198" s="45" t="s">
        <v>132</v>
      </c>
      <c r="H198" s="45" t="s">
        <v>224</v>
      </c>
      <c r="I198" s="45" t="s">
        <v>94</v>
      </c>
      <c r="J198" s="45" t="s">
        <v>130</v>
      </c>
      <c r="K198" s="99"/>
    </row>
    <row r="199" spans="1:11" x14ac:dyDescent="0.2">
      <c r="A199" s="83">
        <v>343</v>
      </c>
      <c r="B199" s="83" t="s">
        <v>118</v>
      </c>
      <c r="C199" s="83" t="s">
        <v>113</v>
      </c>
      <c r="D199" s="84" t="s">
        <v>148</v>
      </c>
      <c r="E199" s="85" t="s">
        <v>129</v>
      </c>
      <c r="F199" s="86">
        <f t="shared" si="2"/>
        <v>6.24</v>
      </c>
      <c r="G199" s="87">
        <v>2400.2669999999998</v>
      </c>
      <c r="H199" s="45" t="s">
        <v>224</v>
      </c>
      <c r="I199" s="45" t="s">
        <v>46</v>
      </c>
      <c r="J199" s="45" t="s">
        <v>130</v>
      </c>
      <c r="K199" s="99"/>
    </row>
    <row r="200" spans="1:11" x14ac:dyDescent="0.2">
      <c r="A200" s="82">
        <v>371</v>
      </c>
      <c r="B200" s="83" t="s">
        <v>118</v>
      </c>
      <c r="C200" s="83" t="s">
        <v>114</v>
      </c>
      <c r="D200" s="84" t="s">
        <v>153</v>
      </c>
      <c r="E200" s="85" t="s">
        <v>129</v>
      </c>
      <c r="F200" s="86">
        <f t="shared" si="2"/>
        <v>6.24</v>
      </c>
      <c r="G200" s="45" t="s">
        <v>132</v>
      </c>
      <c r="H200" s="45" t="s">
        <v>224</v>
      </c>
      <c r="I200" s="45" t="s">
        <v>94</v>
      </c>
      <c r="J200" s="45" t="s">
        <v>130</v>
      </c>
      <c r="K200" s="88"/>
    </row>
    <row r="201" spans="1:11" x14ac:dyDescent="0.2">
      <c r="A201" s="82">
        <v>372</v>
      </c>
      <c r="B201" s="83" t="s">
        <v>118</v>
      </c>
      <c r="C201" s="83" t="s">
        <v>114</v>
      </c>
      <c r="D201" s="84" t="s">
        <v>154</v>
      </c>
      <c r="E201" s="85" t="s">
        <v>129</v>
      </c>
      <c r="F201" s="86">
        <f t="shared" si="2"/>
        <v>6.24</v>
      </c>
      <c r="G201" s="87">
        <v>2400.2669999999998</v>
      </c>
      <c r="H201" s="45" t="s">
        <v>224</v>
      </c>
      <c r="I201" s="45" t="s">
        <v>46</v>
      </c>
      <c r="J201" s="45" t="s">
        <v>130</v>
      </c>
      <c r="K201" s="88"/>
    </row>
    <row r="202" spans="1:11" x14ac:dyDescent="0.2">
      <c r="A202" s="83">
        <v>373</v>
      </c>
      <c r="B202" s="83" t="s">
        <v>118</v>
      </c>
      <c r="C202" s="83" t="s">
        <v>114</v>
      </c>
      <c r="D202" s="84" t="s">
        <v>155</v>
      </c>
      <c r="E202" s="85" t="s">
        <v>129</v>
      </c>
      <c r="F202" s="86">
        <f t="shared" si="2"/>
        <v>6.24</v>
      </c>
      <c r="G202" s="45" t="s">
        <v>132</v>
      </c>
      <c r="H202" s="45" t="s">
        <v>224</v>
      </c>
      <c r="I202" s="45" t="s">
        <v>94</v>
      </c>
      <c r="J202" s="45" t="s">
        <v>130</v>
      </c>
      <c r="K202" s="88"/>
    </row>
    <row r="203" spans="1:11" x14ac:dyDescent="0.2">
      <c r="A203" s="82">
        <v>407</v>
      </c>
      <c r="B203" s="83" t="s">
        <v>119</v>
      </c>
      <c r="C203" s="83" t="s">
        <v>112</v>
      </c>
      <c r="D203" s="84" t="s">
        <v>158</v>
      </c>
      <c r="E203" s="85" t="s">
        <v>129</v>
      </c>
      <c r="F203" s="86">
        <f t="shared" si="2"/>
        <v>6.24</v>
      </c>
      <c r="G203" s="87">
        <v>2400.2669999999998</v>
      </c>
      <c r="H203" s="45" t="s">
        <v>224</v>
      </c>
      <c r="I203" s="45" t="s">
        <v>94</v>
      </c>
      <c r="J203" s="45" t="s">
        <v>130</v>
      </c>
      <c r="K203" s="88"/>
    </row>
    <row r="204" spans="1:11" x14ac:dyDescent="0.2">
      <c r="A204" s="82">
        <v>408</v>
      </c>
      <c r="B204" s="83" t="s">
        <v>119</v>
      </c>
      <c r="C204" s="83" t="s">
        <v>112</v>
      </c>
      <c r="D204" s="84" t="s">
        <v>159</v>
      </c>
      <c r="E204" s="85" t="s">
        <v>129</v>
      </c>
      <c r="F204" s="86">
        <f t="shared" si="2"/>
        <v>6.24</v>
      </c>
      <c r="G204" s="87">
        <v>2400.2669999999998</v>
      </c>
      <c r="H204" s="45" t="s">
        <v>224</v>
      </c>
      <c r="I204" s="45" t="s">
        <v>46</v>
      </c>
      <c r="J204" s="45" t="s">
        <v>130</v>
      </c>
      <c r="K204" s="88"/>
    </row>
    <row r="205" spans="1:11" x14ac:dyDescent="0.2">
      <c r="A205" s="83">
        <v>409</v>
      </c>
      <c r="B205" s="83" t="s">
        <v>119</v>
      </c>
      <c r="C205" s="83" t="s">
        <v>112</v>
      </c>
      <c r="D205" s="84" t="s">
        <v>160</v>
      </c>
      <c r="E205" s="85" t="s">
        <v>129</v>
      </c>
      <c r="F205" s="86">
        <f t="shared" si="2"/>
        <v>6.24</v>
      </c>
      <c r="G205" s="87">
        <v>2400.2669999999998</v>
      </c>
      <c r="H205" s="45" t="s">
        <v>224</v>
      </c>
      <c r="I205" s="45" t="s">
        <v>46</v>
      </c>
      <c r="J205" s="45" t="s">
        <v>130</v>
      </c>
      <c r="K205" s="88"/>
    </row>
    <row r="206" spans="1:11" x14ac:dyDescent="0.2">
      <c r="A206" s="82">
        <v>410</v>
      </c>
      <c r="B206" s="83" t="s">
        <v>119</v>
      </c>
      <c r="C206" s="83" t="s">
        <v>112</v>
      </c>
      <c r="D206" s="84" t="s">
        <v>161</v>
      </c>
      <c r="E206" s="85" t="s">
        <v>129</v>
      </c>
      <c r="F206" s="86">
        <f t="shared" si="2"/>
        <v>6.24</v>
      </c>
      <c r="G206" s="87">
        <v>2400.2669999999998</v>
      </c>
      <c r="H206" s="45" t="s">
        <v>224</v>
      </c>
      <c r="I206" s="45" t="s">
        <v>94</v>
      </c>
      <c r="J206" s="45" t="s">
        <v>130</v>
      </c>
      <c r="K206" s="88"/>
    </row>
    <row r="207" spans="1:11" x14ac:dyDescent="0.2">
      <c r="A207" s="82">
        <v>411</v>
      </c>
      <c r="B207" s="83" t="s">
        <v>119</v>
      </c>
      <c r="C207" s="83" t="s">
        <v>112</v>
      </c>
      <c r="D207" s="84" t="s">
        <v>162</v>
      </c>
      <c r="E207" s="85" t="s">
        <v>129</v>
      </c>
      <c r="F207" s="86">
        <f t="shared" si="2"/>
        <v>6.24</v>
      </c>
      <c r="G207" s="87">
        <v>2400.2669999999998</v>
      </c>
      <c r="H207" s="45" t="s">
        <v>224</v>
      </c>
      <c r="I207" s="45" t="s">
        <v>46</v>
      </c>
      <c r="J207" s="45" t="s">
        <v>130</v>
      </c>
      <c r="K207" s="88"/>
    </row>
    <row r="208" spans="1:11" x14ac:dyDescent="0.2">
      <c r="A208" s="83">
        <v>412</v>
      </c>
      <c r="B208" s="83" t="s">
        <v>119</v>
      </c>
      <c r="C208" s="83" t="s">
        <v>112</v>
      </c>
      <c r="D208" s="84" t="s">
        <v>163</v>
      </c>
      <c r="E208" s="85" t="s">
        <v>129</v>
      </c>
      <c r="F208" s="86">
        <f t="shared" si="2"/>
        <v>6.24</v>
      </c>
      <c r="G208" s="87">
        <v>2400.2669999999998</v>
      </c>
      <c r="H208" s="45" t="s">
        <v>224</v>
      </c>
      <c r="I208" s="45" t="s">
        <v>94</v>
      </c>
      <c r="J208" s="45" t="s">
        <v>130</v>
      </c>
      <c r="K208" s="88"/>
    </row>
    <row r="209" spans="1:11" x14ac:dyDescent="0.2">
      <c r="A209" s="82">
        <v>413</v>
      </c>
      <c r="B209" s="83" t="s">
        <v>119</v>
      </c>
      <c r="C209" s="83" t="s">
        <v>112</v>
      </c>
      <c r="D209" s="84" t="s">
        <v>164</v>
      </c>
      <c r="E209" s="85" t="s">
        <v>129</v>
      </c>
      <c r="F209" s="86">
        <f t="shared" si="2"/>
        <v>6.24</v>
      </c>
      <c r="G209" s="87">
        <v>2400.2669999999998</v>
      </c>
      <c r="H209" s="45" t="s">
        <v>224</v>
      </c>
      <c r="I209" s="45" t="s">
        <v>94</v>
      </c>
      <c r="J209" s="45" t="s">
        <v>130</v>
      </c>
      <c r="K209" s="88"/>
    </row>
    <row r="210" spans="1:11" x14ac:dyDescent="0.2">
      <c r="A210" s="82">
        <v>414</v>
      </c>
      <c r="B210" s="83" t="s">
        <v>119</v>
      </c>
      <c r="C210" s="83" t="s">
        <v>112</v>
      </c>
      <c r="D210" s="84" t="s">
        <v>165</v>
      </c>
      <c r="E210" s="85" t="s">
        <v>129</v>
      </c>
      <c r="F210" s="86">
        <f t="shared" si="2"/>
        <v>6.24</v>
      </c>
      <c r="G210" s="87">
        <v>2400.2669999999998</v>
      </c>
      <c r="H210" s="45" t="s">
        <v>224</v>
      </c>
      <c r="I210" s="45" t="s">
        <v>94</v>
      </c>
      <c r="J210" s="45" t="s">
        <v>130</v>
      </c>
      <c r="K210" s="88"/>
    </row>
    <row r="211" spans="1:11" x14ac:dyDescent="0.2">
      <c r="A211" s="82">
        <v>446</v>
      </c>
      <c r="B211" s="83" t="s">
        <v>119</v>
      </c>
      <c r="C211" s="83" t="s">
        <v>113</v>
      </c>
      <c r="D211" s="84" t="s">
        <v>166</v>
      </c>
      <c r="E211" s="85" t="s">
        <v>129</v>
      </c>
      <c r="F211" s="86">
        <f t="shared" si="2"/>
        <v>6.24</v>
      </c>
      <c r="G211" s="87">
        <v>2400.2669999999998</v>
      </c>
      <c r="H211" s="45" t="s">
        <v>224</v>
      </c>
      <c r="I211" s="45" t="s">
        <v>46</v>
      </c>
      <c r="J211" s="45" t="s">
        <v>130</v>
      </c>
      <c r="K211" s="88"/>
    </row>
    <row r="212" spans="1:11" x14ac:dyDescent="0.2">
      <c r="A212" s="82">
        <v>447</v>
      </c>
      <c r="B212" s="83" t="s">
        <v>119</v>
      </c>
      <c r="C212" s="83" t="s">
        <v>113</v>
      </c>
      <c r="D212" s="84" t="s">
        <v>167</v>
      </c>
      <c r="E212" s="85" t="s">
        <v>129</v>
      </c>
      <c r="F212" s="86">
        <f t="shared" si="2"/>
        <v>6.24</v>
      </c>
      <c r="G212" s="45" t="s">
        <v>132</v>
      </c>
      <c r="H212" s="45" t="s">
        <v>224</v>
      </c>
      <c r="I212" s="45" t="s">
        <v>94</v>
      </c>
      <c r="J212" s="45" t="s">
        <v>130</v>
      </c>
      <c r="K212" s="88"/>
    </row>
    <row r="213" spans="1:11" x14ac:dyDescent="0.2">
      <c r="A213" s="83">
        <v>448</v>
      </c>
      <c r="B213" s="83" t="s">
        <v>119</v>
      </c>
      <c r="C213" s="83" t="s">
        <v>113</v>
      </c>
      <c r="D213" s="84" t="s">
        <v>168</v>
      </c>
      <c r="E213" s="85" t="s">
        <v>129</v>
      </c>
      <c r="F213" s="86">
        <f t="shared" si="2"/>
        <v>6.24</v>
      </c>
      <c r="G213" s="87">
        <v>2400.2669999999998</v>
      </c>
      <c r="H213" s="45" t="s">
        <v>224</v>
      </c>
      <c r="I213" s="45" t="s">
        <v>46</v>
      </c>
      <c r="J213" s="45" t="s">
        <v>130</v>
      </c>
      <c r="K213" s="88"/>
    </row>
    <row r="214" spans="1:11" x14ac:dyDescent="0.2">
      <c r="A214" s="82">
        <v>449</v>
      </c>
      <c r="B214" s="83" t="s">
        <v>119</v>
      </c>
      <c r="C214" s="83" t="s">
        <v>113</v>
      </c>
      <c r="D214" s="84" t="s">
        <v>169</v>
      </c>
      <c r="E214" s="85" t="s">
        <v>129</v>
      </c>
      <c r="F214" s="86">
        <f t="shared" ref="F214:F250" si="3">2.4*2.6</f>
        <v>6.24</v>
      </c>
      <c r="G214" s="87">
        <v>2400.2669999999998</v>
      </c>
      <c r="H214" s="45" t="s">
        <v>224</v>
      </c>
      <c r="I214" s="45" t="s">
        <v>46</v>
      </c>
      <c r="J214" s="45" t="s">
        <v>130</v>
      </c>
      <c r="K214" s="88"/>
    </row>
    <row r="215" spans="1:11" x14ac:dyDescent="0.2">
      <c r="A215" s="82">
        <v>450</v>
      </c>
      <c r="B215" s="83" t="s">
        <v>119</v>
      </c>
      <c r="C215" s="83" t="s">
        <v>113</v>
      </c>
      <c r="D215" s="84" t="s">
        <v>170</v>
      </c>
      <c r="E215" s="85" t="s">
        <v>129</v>
      </c>
      <c r="F215" s="86">
        <f t="shared" si="3"/>
        <v>6.24</v>
      </c>
      <c r="G215" s="87">
        <v>2400.2669999999998</v>
      </c>
      <c r="H215" s="45" t="s">
        <v>224</v>
      </c>
      <c r="I215" s="45" t="s">
        <v>46</v>
      </c>
      <c r="J215" s="45" t="s">
        <v>130</v>
      </c>
      <c r="K215" s="88"/>
    </row>
    <row r="216" spans="1:11" x14ac:dyDescent="0.2">
      <c r="A216" s="83">
        <v>451</v>
      </c>
      <c r="B216" s="83" t="s">
        <v>119</v>
      </c>
      <c r="C216" s="83" t="s">
        <v>113</v>
      </c>
      <c r="D216" s="84" t="s">
        <v>171</v>
      </c>
      <c r="E216" s="85" t="s">
        <v>129</v>
      </c>
      <c r="F216" s="86">
        <f t="shared" si="3"/>
        <v>6.24</v>
      </c>
      <c r="G216" s="45" t="s">
        <v>132</v>
      </c>
      <c r="H216" s="45" t="s">
        <v>224</v>
      </c>
      <c r="I216" s="45" t="s">
        <v>94</v>
      </c>
      <c r="J216" s="45" t="s">
        <v>130</v>
      </c>
      <c r="K216" s="88"/>
    </row>
    <row r="217" spans="1:11" x14ac:dyDescent="0.2">
      <c r="A217" s="82">
        <v>452</v>
      </c>
      <c r="B217" s="83" t="s">
        <v>119</v>
      </c>
      <c r="C217" s="83" t="s">
        <v>113</v>
      </c>
      <c r="D217" s="84" t="s">
        <v>172</v>
      </c>
      <c r="E217" s="85" t="s">
        <v>129</v>
      </c>
      <c r="F217" s="86">
        <f t="shared" si="3"/>
        <v>6.24</v>
      </c>
      <c r="G217" s="87">
        <v>2400.2669999999998</v>
      </c>
      <c r="H217" s="45" t="s">
        <v>224</v>
      </c>
      <c r="I217" s="45" t="s">
        <v>94</v>
      </c>
      <c r="J217" s="45" t="s">
        <v>130</v>
      </c>
      <c r="K217" s="88"/>
    </row>
    <row r="218" spans="1:11" x14ac:dyDescent="0.2">
      <c r="A218" s="82">
        <v>453</v>
      </c>
      <c r="B218" s="83" t="s">
        <v>119</v>
      </c>
      <c r="C218" s="83" t="s">
        <v>113</v>
      </c>
      <c r="D218" s="84" t="s">
        <v>173</v>
      </c>
      <c r="E218" s="85" t="s">
        <v>129</v>
      </c>
      <c r="F218" s="86">
        <f t="shared" si="3"/>
        <v>6.24</v>
      </c>
      <c r="G218" s="87">
        <v>2400.2669999999998</v>
      </c>
      <c r="H218" s="45" t="s">
        <v>224</v>
      </c>
      <c r="I218" s="45" t="s">
        <v>46</v>
      </c>
      <c r="J218" s="45" t="s">
        <v>130</v>
      </c>
      <c r="K218" s="88"/>
    </row>
    <row r="219" spans="1:11" x14ac:dyDescent="0.2">
      <c r="A219" s="82">
        <v>489</v>
      </c>
      <c r="B219" s="83" t="s">
        <v>119</v>
      </c>
      <c r="C219" s="83" t="s">
        <v>114</v>
      </c>
      <c r="D219" s="84" t="s">
        <v>178</v>
      </c>
      <c r="E219" s="85" t="s">
        <v>129</v>
      </c>
      <c r="F219" s="86">
        <f t="shared" si="3"/>
        <v>6.24</v>
      </c>
      <c r="G219" s="45" t="s">
        <v>132</v>
      </c>
      <c r="H219" s="45" t="s">
        <v>224</v>
      </c>
      <c r="I219" s="45" t="s">
        <v>46</v>
      </c>
      <c r="J219" s="45" t="s">
        <v>130</v>
      </c>
      <c r="K219" s="88"/>
    </row>
    <row r="220" spans="1:11" x14ac:dyDescent="0.2">
      <c r="A220" s="83">
        <v>490</v>
      </c>
      <c r="B220" s="83" t="s">
        <v>119</v>
      </c>
      <c r="C220" s="83" t="s">
        <v>114</v>
      </c>
      <c r="D220" s="84" t="s">
        <v>179</v>
      </c>
      <c r="E220" s="85" t="s">
        <v>176</v>
      </c>
      <c r="F220" s="86">
        <f t="shared" si="3"/>
        <v>6.24</v>
      </c>
      <c r="G220" s="87">
        <v>2400.2669999999998</v>
      </c>
      <c r="H220" s="45" t="s">
        <v>224</v>
      </c>
      <c r="I220" s="45" t="s">
        <v>46</v>
      </c>
      <c r="J220" s="45" t="s">
        <v>130</v>
      </c>
      <c r="K220" s="88"/>
    </row>
    <row r="221" spans="1:11" x14ac:dyDescent="0.2">
      <c r="A221" s="82">
        <v>491</v>
      </c>
      <c r="B221" s="83" t="s">
        <v>119</v>
      </c>
      <c r="C221" s="83" t="s">
        <v>114</v>
      </c>
      <c r="D221" s="84" t="s">
        <v>180</v>
      </c>
      <c r="E221" s="85" t="s">
        <v>129</v>
      </c>
      <c r="F221" s="86">
        <f t="shared" si="3"/>
        <v>6.24</v>
      </c>
      <c r="G221" s="45" t="s">
        <v>132</v>
      </c>
      <c r="H221" s="45" t="s">
        <v>224</v>
      </c>
      <c r="I221" s="45" t="s">
        <v>94</v>
      </c>
      <c r="J221" s="45" t="s">
        <v>130</v>
      </c>
      <c r="K221" s="88"/>
    </row>
    <row r="222" spans="1:11" x14ac:dyDescent="0.2">
      <c r="A222" s="82">
        <v>492</v>
      </c>
      <c r="B222" s="83" t="s">
        <v>119</v>
      </c>
      <c r="C222" s="83" t="s">
        <v>114</v>
      </c>
      <c r="D222" s="84" t="s">
        <v>181</v>
      </c>
      <c r="E222" s="85" t="s">
        <v>176</v>
      </c>
      <c r="F222" s="86">
        <f t="shared" si="3"/>
        <v>6.24</v>
      </c>
      <c r="G222" s="87">
        <v>2400.2669999999998</v>
      </c>
      <c r="H222" s="45" t="s">
        <v>224</v>
      </c>
      <c r="I222" s="45" t="s">
        <v>94</v>
      </c>
      <c r="J222" s="45" t="s">
        <v>130</v>
      </c>
      <c r="K222" s="88"/>
    </row>
    <row r="223" spans="1:11" x14ac:dyDescent="0.2">
      <c r="A223" s="83">
        <v>493</v>
      </c>
      <c r="B223" s="83" t="s">
        <v>119</v>
      </c>
      <c r="C223" s="83" t="s">
        <v>114</v>
      </c>
      <c r="D223" s="84" t="s">
        <v>182</v>
      </c>
      <c r="E223" s="85" t="s">
        <v>129</v>
      </c>
      <c r="F223" s="86">
        <f t="shared" si="3"/>
        <v>6.24</v>
      </c>
      <c r="G223" s="45" t="s">
        <v>132</v>
      </c>
      <c r="H223" s="45" t="s">
        <v>224</v>
      </c>
      <c r="I223" s="45" t="s">
        <v>94</v>
      </c>
      <c r="J223" s="45" t="s">
        <v>130</v>
      </c>
      <c r="K223" s="88"/>
    </row>
    <row r="224" spans="1:11" x14ac:dyDescent="0.2">
      <c r="A224" s="82">
        <v>524</v>
      </c>
      <c r="B224" s="83" t="s">
        <v>120</v>
      </c>
      <c r="C224" s="83" t="s">
        <v>112</v>
      </c>
      <c r="D224" s="89" t="s">
        <v>183</v>
      </c>
      <c r="E224" s="90" t="s">
        <v>129</v>
      </c>
      <c r="F224" s="86">
        <f t="shared" si="3"/>
        <v>6.24</v>
      </c>
      <c r="G224" s="92" t="s">
        <v>132</v>
      </c>
      <c r="H224" s="45" t="s">
        <v>224</v>
      </c>
      <c r="I224" s="92" t="s">
        <v>46</v>
      </c>
      <c r="J224" s="92" t="s">
        <v>130</v>
      </c>
      <c r="K224" s="93"/>
    </row>
    <row r="225" spans="1:11" x14ac:dyDescent="0.2">
      <c r="A225" s="82">
        <v>525</v>
      </c>
      <c r="B225" s="83" t="s">
        <v>120</v>
      </c>
      <c r="C225" s="83" t="s">
        <v>112</v>
      </c>
      <c r="D225" s="94" t="s">
        <v>184</v>
      </c>
      <c r="E225" s="95" t="s">
        <v>129</v>
      </c>
      <c r="F225" s="86">
        <f t="shared" si="3"/>
        <v>6.24</v>
      </c>
      <c r="G225" s="97" t="s">
        <v>132</v>
      </c>
      <c r="H225" s="45" t="s">
        <v>224</v>
      </c>
      <c r="I225" s="97" t="s">
        <v>94</v>
      </c>
      <c r="J225" s="97" t="s">
        <v>130</v>
      </c>
      <c r="K225" s="98"/>
    </row>
    <row r="226" spans="1:11" x14ac:dyDescent="0.2">
      <c r="A226" s="83">
        <v>526</v>
      </c>
      <c r="B226" s="83" t="s">
        <v>120</v>
      </c>
      <c r="C226" s="83" t="s">
        <v>112</v>
      </c>
      <c r="D226" s="84" t="s">
        <v>185</v>
      </c>
      <c r="E226" s="85" t="s">
        <v>129</v>
      </c>
      <c r="F226" s="86">
        <f t="shared" si="3"/>
        <v>6.24</v>
      </c>
      <c r="G226" s="45" t="s">
        <v>132</v>
      </c>
      <c r="H226" s="45" t="s">
        <v>224</v>
      </c>
      <c r="I226" s="45" t="s">
        <v>46</v>
      </c>
      <c r="J226" s="45" t="s">
        <v>130</v>
      </c>
      <c r="K226" s="99"/>
    </row>
    <row r="227" spans="1:11" x14ac:dyDescent="0.2">
      <c r="A227" s="82">
        <v>527</v>
      </c>
      <c r="B227" s="83" t="s">
        <v>120</v>
      </c>
      <c r="C227" s="83" t="s">
        <v>112</v>
      </c>
      <c r="D227" s="84" t="s">
        <v>186</v>
      </c>
      <c r="E227" s="85" t="s">
        <v>129</v>
      </c>
      <c r="F227" s="86">
        <f t="shared" si="3"/>
        <v>6.24</v>
      </c>
      <c r="G227" s="45" t="s">
        <v>132</v>
      </c>
      <c r="H227" s="45" t="s">
        <v>224</v>
      </c>
      <c r="I227" s="45" t="s">
        <v>46</v>
      </c>
      <c r="J227" s="45" t="s">
        <v>130</v>
      </c>
      <c r="K227" s="99"/>
    </row>
    <row r="228" spans="1:11" x14ac:dyDescent="0.2">
      <c r="A228" s="82">
        <v>528</v>
      </c>
      <c r="B228" s="83" t="s">
        <v>120</v>
      </c>
      <c r="C228" s="83" t="s">
        <v>112</v>
      </c>
      <c r="D228" s="84" t="s">
        <v>187</v>
      </c>
      <c r="E228" s="85" t="s">
        <v>129</v>
      </c>
      <c r="F228" s="86">
        <f t="shared" si="3"/>
        <v>6.24</v>
      </c>
      <c r="G228" s="45" t="s">
        <v>132</v>
      </c>
      <c r="H228" s="45" t="s">
        <v>224</v>
      </c>
      <c r="I228" s="45" t="s">
        <v>94</v>
      </c>
      <c r="J228" s="45" t="s">
        <v>130</v>
      </c>
      <c r="K228" s="99"/>
    </row>
    <row r="229" spans="1:11" x14ac:dyDescent="0.2">
      <c r="A229" s="83">
        <v>529</v>
      </c>
      <c r="B229" s="83" t="s">
        <v>120</v>
      </c>
      <c r="C229" s="83" t="s">
        <v>112</v>
      </c>
      <c r="D229" s="84" t="s">
        <v>188</v>
      </c>
      <c r="E229" s="85" t="s">
        <v>129</v>
      </c>
      <c r="F229" s="86">
        <f t="shared" si="3"/>
        <v>6.24</v>
      </c>
      <c r="G229" s="45" t="s">
        <v>132</v>
      </c>
      <c r="H229" s="45" t="s">
        <v>224</v>
      </c>
      <c r="I229" s="45" t="s">
        <v>46</v>
      </c>
      <c r="J229" s="45" t="s">
        <v>130</v>
      </c>
      <c r="K229" s="99"/>
    </row>
    <row r="230" spans="1:11" x14ac:dyDescent="0.2">
      <c r="A230" s="82">
        <v>530</v>
      </c>
      <c r="B230" s="83" t="s">
        <v>120</v>
      </c>
      <c r="C230" s="83" t="s">
        <v>112</v>
      </c>
      <c r="D230" s="84" t="s">
        <v>189</v>
      </c>
      <c r="E230" s="85" t="s">
        <v>129</v>
      </c>
      <c r="F230" s="86">
        <f t="shared" si="3"/>
        <v>6.24</v>
      </c>
      <c r="G230" s="45" t="s">
        <v>132</v>
      </c>
      <c r="H230" s="45" t="s">
        <v>224</v>
      </c>
      <c r="I230" s="45" t="s">
        <v>94</v>
      </c>
      <c r="J230" s="45" t="s">
        <v>130</v>
      </c>
      <c r="K230" s="99"/>
    </row>
    <row r="231" spans="1:11" x14ac:dyDescent="0.2">
      <c r="A231" s="82">
        <v>531</v>
      </c>
      <c r="B231" s="83" t="s">
        <v>120</v>
      </c>
      <c r="C231" s="83" t="s">
        <v>112</v>
      </c>
      <c r="D231" s="84" t="s">
        <v>190</v>
      </c>
      <c r="E231" s="85" t="s">
        <v>129</v>
      </c>
      <c r="F231" s="86">
        <f t="shared" si="3"/>
        <v>6.24</v>
      </c>
      <c r="G231" s="45" t="s">
        <v>132</v>
      </c>
      <c r="H231" s="45" t="s">
        <v>224</v>
      </c>
      <c r="I231" s="45" t="s">
        <v>94</v>
      </c>
      <c r="J231" s="45" t="s">
        <v>130</v>
      </c>
      <c r="K231" s="99"/>
    </row>
    <row r="232" spans="1:11" x14ac:dyDescent="0.2">
      <c r="A232" s="83">
        <v>532</v>
      </c>
      <c r="B232" s="83" t="s">
        <v>120</v>
      </c>
      <c r="C232" s="83" t="s">
        <v>112</v>
      </c>
      <c r="D232" s="84" t="s">
        <v>191</v>
      </c>
      <c r="E232" s="85" t="s">
        <v>129</v>
      </c>
      <c r="F232" s="86">
        <f t="shared" si="3"/>
        <v>6.24</v>
      </c>
      <c r="G232" s="45" t="s">
        <v>132</v>
      </c>
      <c r="H232" s="45" t="s">
        <v>224</v>
      </c>
      <c r="I232" s="45" t="s">
        <v>94</v>
      </c>
      <c r="J232" s="45" t="s">
        <v>130</v>
      </c>
      <c r="K232" s="99"/>
    </row>
    <row r="233" spans="1:11" x14ac:dyDescent="0.2">
      <c r="A233" s="82">
        <v>563</v>
      </c>
      <c r="B233" s="83" t="s">
        <v>120</v>
      </c>
      <c r="C233" s="83" t="s">
        <v>113</v>
      </c>
      <c r="D233" s="84" t="s">
        <v>192</v>
      </c>
      <c r="E233" s="85" t="s">
        <v>176</v>
      </c>
      <c r="F233" s="86">
        <f t="shared" si="3"/>
        <v>6.24</v>
      </c>
      <c r="G233" s="87">
        <v>2400.2669999999998</v>
      </c>
      <c r="H233" s="45" t="s">
        <v>224</v>
      </c>
      <c r="I233" s="45" t="s">
        <v>46</v>
      </c>
      <c r="J233" s="45" t="s">
        <v>130</v>
      </c>
      <c r="K233" s="88"/>
    </row>
    <row r="234" spans="1:11" x14ac:dyDescent="0.2">
      <c r="A234" s="82">
        <v>564</v>
      </c>
      <c r="B234" s="83" t="s">
        <v>120</v>
      </c>
      <c r="C234" s="83" t="s">
        <v>113</v>
      </c>
      <c r="D234" s="84" t="s">
        <v>193</v>
      </c>
      <c r="E234" s="85" t="s">
        <v>176</v>
      </c>
      <c r="F234" s="86">
        <f t="shared" si="3"/>
        <v>6.24</v>
      </c>
      <c r="G234" s="87">
        <v>2400.2669999999998</v>
      </c>
      <c r="H234" s="45" t="s">
        <v>224</v>
      </c>
      <c r="I234" s="45" t="s">
        <v>94</v>
      </c>
      <c r="J234" s="45" t="s">
        <v>130</v>
      </c>
      <c r="K234" s="88"/>
    </row>
    <row r="235" spans="1:11" x14ac:dyDescent="0.2">
      <c r="A235" s="83">
        <v>565</v>
      </c>
      <c r="B235" s="83" t="s">
        <v>120</v>
      </c>
      <c r="C235" s="83" t="s">
        <v>113</v>
      </c>
      <c r="D235" s="84" t="s">
        <v>194</v>
      </c>
      <c r="E235" s="85" t="s">
        <v>176</v>
      </c>
      <c r="F235" s="86">
        <f t="shared" si="3"/>
        <v>6.24</v>
      </c>
      <c r="G235" s="87">
        <v>2400.2669999999998</v>
      </c>
      <c r="H235" s="45" t="s">
        <v>224</v>
      </c>
      <c r="I235" s="45" t="s">
        <v>46</v>
      </c>
      <c r="J235" s="45" t="s">
        <v>130</v>
      </c>
      <c r="K235" s="88"/>
    </row>
    <row r="236" spans="1:11" x14ac:dyDescent="0.2">
      <c r="A236" s="82">
        <v>566</v>
      </c>
      <c r="B236" s="83" t="s">
        <v>120</v>
      </c>
      <c r="C236" s="83" t="s">
        <v>113</v>
      </c>
      <c r="D236" s="84" t="s">
        <v>195</v>
      </c>
      <c r="E236" s="85" t="s">
        <v>176</v>
      </c>
      <c r="F236" s="86">
        <f t="shared" si="3"/>
        <v>6.24</v>
      </c>
      <c r="G236" s="87">
        <v>2400.2669999999998</v>
      </c>
      <c r="H236" s="45" t="s">
        <v>224</v>
      </c>
      <c r="I236" s="45" t="s">
        <v>46</v>
      </c>
      <c r="J236" s="45" t="s">
        <v>130</v>
      </c>
      <c r="K236" s="88"/>
    </row>
    <row r="237" spans="1:11" x14ac:dyDescent="0.2">
      <c r="A237" s="82">
        <v>567</v>
      </c>
      <c r="B237" s="83" t="s">
        <v>120</v>
      </c>
      <c r="C237" s="83" t="s">
        <v>113</v>
      </c>
      <c r="D237" s="84" t="s">
        <v>196</v>
      </c>
      <c r="E237" s="85" t="s">
        <v>176</v>
      </c>
      <c r="F237" s="86">
        <f t="shared" si="3"/>
        <v>6.24</v>
      </c>
      <c r="G237" s="87">
        <v>2400.2669999999998</v>
      </c>
      <c r="H237" s="45" t="s">
        <v>224</v>
      </c>
      <c r="I237" s="45" t="s">
        <v>94</v>
      </c>
      <c r="J237" s="45" t="s">
        <v>130</v>
      </c>
      <c r="K237" s="88"/>
    </row>
    <row r="238" spans="1:11" x14ac:dyDescent="0.2">
      <c r="A238" s="83">
        <v>568</v>
      </c>
      <c r="B238" s="83" t="s">
        <v>120</v>
      </c>
      <c r="C238" s="83" t="s">
        <v>113</v>
      </c>
      <c r="D238" s="84" t="s">
        <v>197</v>
      </c>
      <c r="E238" s="85" t="s">
        <v>176</v>
      </c>
      <c r="F238" s="86">
        <f t="shared" si="3"/>
        <v>6.24</v>
      </c>
      <c r="G238" s="87">
        <v>2400.2669999999998</v>
      </c>
      <c r="H238" s="45" t="s">
        <v>224</v>
      </c>
      <c r="I238" s="45" t="s">
        <v>46</v>
      </c>
      <c r="J238" s="45" t="s">
        <v>130</v>
      </c>
      <c r="K238" s="88"/>
    </row>
    <row r="239" spans="1:11" x14ac:dyDescent="0.2">
      <c r="A239" s="82">
        <v>569</v>
      </c>
      <c r="B239" s="83" t="s">
        <v>120</v>
      </c>
      <c r="C239" s="83" t="s">
        <v>113</v>
      </c>
      <c r="D239" s="84" t="s">
        <v>198</v>
      </c>
      <c r="E239" s="85" t="s">
        <v>176</v>
      </c>
      <c r="F239" s="86">
        <f t="shared" si="3"/>
        <v>6.24</v>
      </c>
      <c r="G239" s="87">
        <v>2400.2669999999998</v>
      </c>
      <c r="H239" s="45" t="s">
        <v>224</v>
      </c>
      <c r="I239" s="45" t="s">
        <v>94</v>
      </c>
      <c r="J239" s="45" t="s">
        <v>130</v>
      </c>
      <c r="K239" s="88"/>
    </row>
    <row r="240" spans="1:11" x14ac:dyDescent="0.2">
      <c r="A240" s="82">
        <v>570</v>
      </c>
      <c r="B240" s="83" t="s">
        <v>120</v>
      </c>
      <c r="C240" s="83" t="s">
        <v>113</v>
      </c>
      <c r="D240" s="84" t="s">
        <v>199</v>
      </c>
      <c r="E240" s="85" t="s">
        <v>176</v>
      </c>
      <c r="F240" s="86">
        <f t="shared" si="3"/>
        <v>6.24</v>
      </c>
      <c r="G240" s="87">
        <v>2400.2669999999998</v>
      </c>
      <c r="H240" s="45" t="s">
        <v>224</v>
      </c>
      <c r="I240" s="45" t="s">
        <v>94</v>
      </c>
      <c r="J240" s="45" t="s">
        <v>130</v>
      </c>
      <c r="K240" s="88"/>
    </row>
    <row r="241" spans="1:11" x14ac:dyDescent="0.2">
      <c r="A241" s="83">
        <v>571</v>
      </c>
      <c r="B241" s="83" t="s">
        <v>120</v>
      </c>
      <c r="C241" s="83" t="s">
        <v>113</v>
      </c>
      <c r="D241" s="84" t="s">
        <v>200</v>
      </c>
      <c r="E241" s="85" t="s">
        <v>176</v>
      </c>
      <c r="F241" s="86">
        <f t="shared" si="3"/>
        <v>6.24</v>
      </c>
      <c r="G241" s="87">
        <v>2400.2669999999998</v>
      </c>
      <c r="H241" s="45" t="s">
        <v>224</v>
      </c>
      <c r="I241" s="45" t="s">
        <v>46</v>
      </c>
      <c r="J241" s="45" t="s">
        <v>130</v>
      </c>
      <c r="K241" s="88"/>
    </row>
    <row r="242" spans="1:11" x14ac:dyDescent="0.2">
      <c r="A242" s="82">
        <v>602</v>
      </c>
      <c r="B242" s="83" t="s">
        <v>120</v>
      </c>
      <c r="C242" s="83" t="s">
        <v>114</v>
      </c>
      <c r="D242" s="84" t="s">
        <v>201</v>
      </c>
      <c r="E242" s="85" t="s">
        <v>176</v>
      </c>
      <c r="F242" s="86">
        <f t="shared" si="3"/>
        <v>6.24</v>
      </c>
      <c r="G242" s="45" t="s">
        <v>132</v>
      </c>
      <c r="H242" s="45" t="s">
        <v>224</v>
      </c>
      <c r="I242" s="45" t="s">
        <v>94</v>
      </c>
      <c r="J242" s="45" t="s">
        <v>130</v>
      </c>
      <c r="K242" s="88"/>
    </row>
    <row r="243" spans="1:11" x14ac:dyDescent="0.2">
      <c r="A243" s="82">
        <v>603</v>
      </c>
      <c r="B243" s="83" t="s">
        <v>120</v>
      </c>
      <c r="C243" s="83" t="s">
        <v>114</v>
      </c>
      <c r="D243" s="84" t="s">
        <v>202</v>
      </c>
      <c r="E243" s="85" t="s">
        <v>176</v>
      </c>
      <c r="F243" s="86">
        <f t="shared" si="3"/>
        <v>6.24</v>
      </c>
      <c r="G243" s="45" t="s">
        <v>132</v>
      </c>
      <c r="H243" s="45" t="s">
        <v>224</v>
      </c>
      <c r="I243" s="45" t="s">
        <v>46</v>
      </c>
      <c r="J243" s="45" t="s">
        <v>130</v>
      </c>
      <c r="K243" s="88"/>
    </row>
    <row r="244" spans="1:11" x14ac:dyDescent="0.2">
      <c r="A244" s="83">
        <v>604</v>
      </c>
      <c r="B244" s="83" t="s">
        <v>120</v>
      </c>
      <c r="C244" s="83" t="s">
        <v>114</v>
      </c>
      <c r="D244" s="84" t="s">
        <v>203</v>
      </c>
      <c r="E244" s="85" t="s">
        <v>176</v>
      </c>
      <c r="F244" s="86">
        <f t="shared" si="3"/>
        <v>6.24</v>
      </c>
      <c r="G244" s="45" t="s">
        <v>132</v>
      </c>
      <c r="H244" s="45" t="s">
        <v>224</v>
      </c>
      <c r="I244" s="45" t="s">
        <v>94</v>
      </c>
      <c r="J244" s="45" t="s">
        <v>130</v>
      </c>
      <c r="K244" s="88"/>
    </row>
    <row r="245" spans="1:11" x14ac:dyDescent="0.2">
      <c r="A245" s="82">
        <v>605</v>
      </c>
      <c r="B245" s="83" t="s">
        <v>120</v>
      </c>
      <c r="C245" s="83" t="s">
        <v>114</v>
      </c>
      <c r="D245" s="84" t="s">
        <v>204</v>
      </c>
      <c r="E245" s="85" t="s">
        <v>176</v>
      </c>
      <c r="F245" s="86">
        <f t="shared" si="3"/>
        <v>6.24</v>
      </c>
      <c r="G245" s="45" t="s">
        <v>132</v>
      </c>
      <c r="H245" s="45" t="s">
        <v>224</v>
      </c>
      <c r="I245" s="45" t="s">
        <v>46</v>
      </c>
      <c r="J245" s="45" t="s">
        <v>130</v>
      </c>
      <c r="K245" s="88"/>
    </row>
    <row r="246" spans="1:11" x14ac:dyDescent="0.2">
      <c r="A246" s="82">
        <v>606</v>
      </c>
      <c r="B246" s="83" t="s">
        <v>120</v>
      </c>
      <c r="C246" s="83" t="s">
        <v>114</v>
      </c>
      <c r="D246" s="84" t="s">
        <v>205</v>
      </c>
      <c r="E246" s="85" t="s">
        <v>176</v>
      </c>
      <c r="F246" s="86">
        <f t="shared" si="3"/>
        <v>6.24</v>
      </c>
      <c r="G246" s="45" t="s">
        <v>132</v>
      </c>
      <c r="H246" s="45" t="s">
        <v>224</v>
      </c>
      <c r="I246" s="45" t="s">
        <v>46</v>
      </c>
      <c r="J246" s="45" t="s">
        <v>130</v>
      </c>
      <c r="K246" s="88"/>
    </row>
    <row r="247" spans="1:11" x14ac:dyDescent="0.2">
      <c r="A247" s="83">
        <v>607</v>
      </c>
      <c r="B247" s="83" t="s">
        <v>120</v>
      </c>
      <c r="C247" s="83" t="s">
        <v>114</v>
      </c>
      <c r="D247" s="84" t="s">
        <v>206</v>
      </c>
      <c r="E247" s="85" t="s">
        <v>176</v>
      </c>
      <c r="F247" s="86">
        <f t="shared" si="3"/>
        <v>6.24</v>
      </c>
      <c r="G247" s="45" t="s">
        <v>132</v>
      </c>
      <c r="H247" s="45" t="s">
        <v>224</v>
      </c>
      <c r="I247" s="45" t="s">
        <v>94</v>
      </c>
      <c r="J247" s="45" t="s">
        <v>130</v>
      </c>
      <c r="K247" s="88"/>
    </row>
    <row r="248" spans="1:11" x14ac:dyDescent="0.2">
      <c r="A248" s="82">
        <v>608</v>
      </c>
      <c r="B248" s="83" t="s">
        <v>120</v>
      </c>
      <c r="C248" s="83" t="s">
        <v>114</v>
      </c>
      <c r="D248" s="84" t="s">
        <v>207</v>
      </c>
      <c r="E248" s="85" t="s">
        <v>176</v>
      </c>
      <c r="F248" s="86">
        <f t="shared" si="3"/>
        <v>6.24</v>
      </c>
      <c r="G248" s="45" t="s">
        <v>132</v>
      </c>
      <c r="H248" s="45" t="s">
        <v>224</v>
      </c>
      <c r="I248" s="45" t="s">
        <v>46</v>
      </c>
      <c r="J248" s="45" t="s">
        <v>130</v>
      </c>
      <c r="K248" s="88"/>
    </row>
    <row r="249" spans="1:11" x14ac:dyDescent="0.2">
      <c r="A249" s="82">
        <v>609</v>
      </c>
      <c r="B249" s="83" t="s">
        <v>120</v>
      </c>
      <c r="C249" s="83" t="s">
        <v>114</v>
      </c>
      <c r="D249" s="84" t="s">
        <v>208</v>
      </c>
      <c r="E249" s="85" t="s">
        <v>176</v>
      </c>
      <c r="F249" s="86">
        <f t="shared" si="3"/>
        <v>6.24</v>
      </c>
      <c r="G249" s="45" t="s">
        <v>132</v>
      </c>
      <c r="H249" s="45" t="s">
        <v>224</v>
      </c>
      <c r="I249" s="45" t="s">
        <v>94</v>
      </c>
      <c r="J249" s="45" t="s">
        <v>130</v>
      </c>
      <c r="K249" s="88"/>
    </row>
    <row r="250" spans="1:11" x14ac:dyDescent="0.2">
      <c r="A250" s="83">
        <v>610</v>
      </c>
      <c r="B250" s="83" t="s">
        <v>120</v>
      </c>
      <c r="C250" s="83" t="s">
        <v>114</v>
      </c>
      <c r="D250" s="84" t="s">
        <v>209</v>
      </c>
      <c r="E250" s="85" t="s">
        <v>176</v>
      </c>
      <c r="F250" s="86">
        <f t="shared" si="3"/>
        <v>6.24</v>
      </c>
      <c r="G250" s="45" t="s">
        <v>132</v>
      </c>
      <c r="H250" s="45" t="s">
        <v>224</v>
      </c>
      <c r="I250" s="45" t="s">
        <v>94</v>
      </c>
      <c r="J250" s="45" t="s">
        <v>130</v>
      </c>
      <c r="K250" s="88"/>
    </row>
    <row r="251" spans="1:11" x14ac:dyDescent="0.2">
      <c r="A251" s="6">
        <v>289</v>
      </c>
      <c r="B251" s="6" t="s">
        <v>118</v>
      </c>
      <c r="C251" s="6" t="s">
        <v>112</v>
      </c>
      <c r="D251" s="42" t="s">
        <v>764</v>
      </c>
      <c r="E251" s="38" t="s">
        <v>765</v>
      </c>
      <c r="F251" s="49">
        <v>20.8</v>
      </c>
      <c r="G251" s="81">
        <v>2400.2669999999998</v>
      </c>
      <c r="H251" s="36" t="s">
        <v>766</v>
      </c>
      <c r="I251" s="36" t="s">
        <v>91</v>
      </c>
      <c r="J251" s="36" t="s">
        <v>767</v>
      </c>
      <c r="K251" s="46"/>
    </row>
    <row r="252" spans="1:11" x14ac:dyDescent="0.2">
      <c r="A252" s="5">
        <v>290</v>
      </c>
      <c r="B252" s="6" t="s">
        <v>118</v>
      </c>
      <c r="C252" s="6" t="s">
        <v>112</v>
      </c>
      <c r="D252" s="42" t="s">
        <v>768</v>
      </c>
      <c r="E252" s="38" t="s">
        <v>769</v>
      </c>
      <c r="F252" s="49">
        <v>2.5</v>
      </c>
      <c r="G252" s="63">
        <v>2400</v>
      </c>
      <c r="H252" s="36" t="s">
        <v>766</v>
      </c>
      <c r="I252" s="36" t="s">
        <v>46</v>
      </c>
      <c r="J252" s="36" t="s">
        <v>756</v>
      </c>
      <c r="K252" s="46"/>
    </row>
    <row r="253" spans="1:11" x14ac:dyDescent="0.2">
      <c r="A253" s="5">
        <v>291</v>
      </c>
      <c r="B253" s="6" t="s">
        <v>118</v>
      </c>
      <c r="C253" s="6" t="s">
        <v>112</v>
      </c>
      <c r="D253" s="42" t="s">
        <v>770</v>
      </c>
      <c r="E253" s="38" t="s">
        <v>771</v>
      </c>
      <c r="F253" s="49">
        <v>2.15</v>
      </c>
      <c r="G253" s="63">
        <v>2400</v>
      </c>
      <c r="H253" s="36" t="s">
        <v>766</v>
      </c>
      <c r="I253" s="36" t="s">
        <v>46</v>
      </c>
      <c r="J253" s="36" t="s">
        <v>763</v>
      </c>
      <c r="K253" s="46"/>
    </row>
    <row r="254" spans="1:11" x14ac:dyDescent="0.2">
      <c r="A254" s="6">
        <v>328</v>
      </c>
      <c r="B254" s="6" t="s">
        <v>118</v>
      </c>
      <c r="C254" s="6" t="s">
        <v>113</v>
      </c>
      <c r="D254" s="42" t="s">
        <v>772</v>
      </c>
      <c r="E254" s="38" t="s">
        <v>765</v>
      </c>
      <c r="F254" s="49">
        <v>21.5</v>
      </c>
      <c r="G254" s="81">
        <v>2400.2669999999998</v>
      </c>
      <c r="H254" s="36" t="s">
        <v>766</v>
      </c>
      <c r="I254" s="36" t="s">
        <v>98</v>
      </c>
      <c r="J254" s="36" t="s">
        <v>767</v>
      </c>
      <c r="K254" s="101"/>
    </row>
    <row r="255" spans="1:11" x14ac:dyDescent="0.2">
      <c r="A255" s="5">
        <v>329</v>
      </c>
      <c r="B255" s="6" t="s">
        <v>118</v>
      </c>
      <c r="C255" s="6" t="s">
        <v>113</v>
      </c>
      <c r="D255" s="42" t="s">
        <v>773</v>
      </c>
      <c r="E255" s="38" t="s">
        <v>769</v>
      </c>
      <c r="F255" s="49">
        <v>2.5</v>
      </c>
      <c r="G255" s="63">
        <v>2400</v>
      </c>
      <c r="H255" s="36" t="s">
        <v>766</v>
      </c>
      <c r="I255" s="36" t="s">
        <v>46</v>
      </c>
      <c r="J255" s="36" t="s">
        <v>756</v>
      </c>
      <c r="K255" s="101"/>
    </row>
    <row r="256" spans="1:11" x14ac:dyDescent="0.2">
      <c r="A256" s="5">
        <v>330</v>
      </c>
      <c r="B256" s="6" t="s">
        <v>118</v>
      </c>
      <c r="C256" s="6" t="s">
        <v>113</v>
      </c>
      <c r="D256" s="42" t="s">
        <v>774</v>
      </c>
      <c r="E256" s="38" t="s">
        <v>771</v>
      </c>
      <c r="F256" s="49">
        <v>2.25</v>
      </c>
      <c r="G256" s="63">
        <v>2400</v>
      </c>
      <c r="H256" s="36" t="s">
        <v>766</v>
      </c>
      <c r="I256" s="36" t="s">
        <v>46</v>
      </c>
      <c r="J256" s="36" t="s">
        <v>763</v>
      </c>
      <c r="K256" s="101"/>
    </row>
    <row r="257" spans="1:11" x14ac:dyDescent="0.2">
      <c r="A257" s="5">
        <v>366</v>
      </c>
      <c r="B257" s="6" t="s">
        <v>118</v>
      </c>
      <c r="C257" s="6" t="s">
        <v>114</v>
      </c>
      <c r="D257" s="42" t="s">
        <v>775</v>
      </c>
      <c r="E257" s="38" t="s">
        <v>776</v>
      </c>
      <c r="F257" s="39">
        <v>20.3</v>
      </c>
      <c r="G257" s="80">
        <v>2400.2669999999998</v>
      </c>
      <c r="H257" s="36" t="s">
        <v>777</v>
      </c>
      <c r="I257" s="36" t="s">
        <v>101</v>
      </c>
      <c r="J257" s="36" t="s">
        <v>778</v>
      </c>
      <c r="K257" s="46"/>
    </row>
    <row r="258" spans="1:11" x14ac:dyDescent="0.2">
      <c r="A258" s="5">
        <v>399</v>
      </c>
      <c r="B258" s="6" t="s">
        <v>119</v>
      </c>
      <c r="C258" s="6" t="s">
        <v>112</v>
      </c>
      <c r="D258" s="42" t="s">
        <v>779</v>
      </c>
      <c r="E258" s="38" t="s">
        <v>780</v>
      </c>
      <c r="F258" s="39">
        <v>5.65</v>
      </c>
      <c r="G258" s="78">
        <v>2400</v>
      </c>
      <c r="H258" s="36" t="s">
        <v>777</v>
      </c>
      <c r="I258" s="36" t="s">
        <v>101</v>
      </c>
      <c r="J258" s="36" t="s">
        <v>738</v>
      </c>
      <c r="K258" s="46"/>
    </row>
    <row r="259" spans="1:11" x14ac:dyDescent="0.2">
      <c r="A259" s="6">
        <v>400</v>
      </c>
      <c r="B259" s="6" t="s">
        <v>119</v>
      </c>
      <c r="C259" s="6" t="s">
        <v>112</v>
      </c>
      <c r="D259" s="42" t="s">
        <v>781</v>
      </c>
      <c r="E259" s="38" t="s">
        <v>782</v>
      </c>
      <c r="F259" s="39">
        <v>8.6999999999999993</v>
      </c>
      <c r="G259" s="78">
        <v>2670</v>
      </c>
      <c r="H259" s="36" t="s">
        <v>777</v>
      </c>
      <c r="I259" s="36" t="s">
        <v>101</v>
      </c>
      <c r="J259" s="36" t="s">
        <v>778</v>
      </c>
      <c r="K259" s="46"/>
    </row>
    <row r="260" spans="1:11" x14ac:dyDescent="0.2">
      <c r="A260" s="5">
        <v>405</v>
      </c>
      <c r="B260" s="6" t="s">
        <v>119</v>
      </c>
      <c r="C260" s="6" t="s">
        <v>112</v>
      </c>
      <c r="D260" s="42" t="s">
        <v>783</v>
      </c>
      <c r="E260" s="38" t="s">
        <v>784</v>
      </c>
      <c r="F260" s="39">
        <v>5.3</v>
      </c>
      <c r="G260" s="78">
        <v>2400</v>
      </c>
      <c r="H260" s="36" t="s">
        <v>777</v>
      </c>
      <c r="I260" s="36" t="s">
        <v>46</v>
      </c>
      <c r="J260" s="36" t="s">
        <v>738</v>
      </c>
      <c r="K260" s="46"/>
    </row>
    <row r="261" spans="1:11" x14ac:dyDescent="0.2">
      <c r="A261" s="5">
        <v>438</v>
      </c>
      <c r="B261" s="6" t="s">
        <v>119</v>
      </c>
      <c r="C261" s="6" t="s">
        <v>113</v>
      </c>
      <c r="D261" s="42" t="s">
        <v>785</v>
      </c>
      <c r="E261" s="38" t="s">
        <v>771</v>
      </c>
      <c r="F261" s="52">
        <v>5.65</v>
      </c>
      <c r="G261" s="63">
        <v>2400</v>
      </c>
      <c r="H261" s="36" t="s">
        <v>766</v>
      </c>
      <c r="I261" s="36" t="s">
        <v>101</v>
      </c>
      <c r="J261" s="36" t="s">
        <v>756</v>
      </c>
      <c r="K261" s="46"/>
    </row>
    <row r="262" spans="1:11" x14ac:dyDescent="0.2">
      <c r="A262" s="6">
        <v>439</v>
      </c>
      <c r="B262" s="6" t="s">
        <v>119</v>
      </c>
      <c r="C262" s="6" t="s">
        <v>113</v>
      </c>
      <c r="D262" s="42" t="s">
        <v>786</v>
      </c>
      <c r="E262" s="38" t="s">
        <v>787</v>
      </c>
      <c r="F262" s="52">
        <v>8.65</v>
      </c>
      <c r="G262" s="63">
        <v>2670</v>
      </c>
      <c r="H262" s="36" t="s">
        <v>766</v>
      </c>
      <c r="I262" s="36" t="s">
        <v>101</v>
      </c>
      <c r="J262" s="36" t="s">
        <v>767</v>
      </c>
      <c r="K262" s="46"/>
    </row>
    <row r="263" spans="1:11" x14ac:dyDescent="0.2">
      <c r="A263" s="5">
        <v>444</v>
      </c>
      <c r="B263" s="6" t="s">
        <v>119</v>
      </c>
      <c r="C263" s="6" t="s">
        <v>113</v>
      </c>
      <c r="D263" s="42" t="s">
        <v>788</v>
      </c>
      <c r="E263" s="38" t="s">
        <v>789</v>
      </c>
      <c r="F263" s="52">
        <v>5.3</v>
      </c>
      <c r="G263" s="63">
        <v>2400</v>
      </c>
      <c r="H263" s="36" t="s">
        <v>766</v>
      </c>
      <c r="I263" s="36" t="s">
        <v>46</v>
      </c>
      <c r="J263" s="36" t="s">
        <v>756</v>
      </c>
      <c r="K263" s="46"/>
    </row>
    <row r="264" spans="1:11" x14ac:dyDescent="0.2">
      <c r="A264" s="6">
        <v>484</v>
      </c>
      <c r="B264" s="6" t="s">
        <v>119</v>
      </c>
      <c r="C264" s="6" t="s">
        <v>114</v>
      </c>
      <c r="D264" s="42" t="s">
        <v>790</v>
      </c>
      <c r="E264" s="38" t="s">
        <v>789</v>
      </c>
      <c r="F264" s="49">
        <v>5.3</v>
      </c>
      <c r="G264" s="63">
        <v>2400</v>
      </c>
      <c r="H264" s="36" t="s">
        <v>766</v>
      </c>
      <c r="I264" s="36" t="s">
        <v>46</v>
      </c>
      <c r="J264" s="36" t="s">
        <v>756</v>
      </c>
      <c r="K264" s="46"/>
    </row>
    <row r="265" spans="1:11" x14ac:dyDescent="0.2">
      <c r="A265" s="6">
        <v>517</v>
      </c>
      <c r="B265" s="6" t="s">
        <v>120</v>
      </c>
      <c r="C265" s="6" t="s">
        <v>112</v>
      </c>
      <c r="D265" s="42" t="s">
        <v>791</v>
      </c>
      <c r="E265" s="38" t="s">
        <v>765</v>
      </c>
      <c r="F265" s="49">
        <v>20.8</v>
      </c>
      <c r="G265" s="36" t="s">
        <v>792</v>
      </c>
      <c r="H265" s="36" t="s">
        <v>766</v>
      </c>
      <c r="I265" s="36" t="s">
        <v>91</v>
      </c>
      <c r="J265" s="36" t="s">
        <v>767</v>
      </c>
      <c r="K265" s="101"/>
    </row>
    <row r="266" spans="1:11" x14ac:dyDescent="0.2">
      <c r="A266" s="5">
        <v>518</v>
      </c>
      <c r="B266" s="6" t="s">
        <v>120</v>
      </c>
      <c r="C266" s="6" t="s">
        <v>112</v>
      </c>
      <c r="D266" s="42" t="s">
        <v>793</v>
      </c>
      <c r="E266" s="38" t="s">
        <v>769</v>
      </c>
      <c r="F266" s="49">
        <v>2.5</v>
      </c>
      <c r="G266" s="63">
        <v>2400</v>
      </c>
      <c r="H266" s="36" t="s">
        <v>766</v>
      </c>
      <c r="I266" s="36" t="s">
        <v>46</v>
      </c>
      <c r="J266" s="36" t="s">
        <v>763</v>
      </c>
      <c r="K266" s="101"/>
    </row>
    <row r="267" spans="1:11" x14ac:dyDescent="0.2">
      <c r="A267" s="5">
        <v>519</v>
      </c>
      <c r="B267" s="6" t="s">
        <v>120</v>
      </c>
      <c r="C267" s="6" t="s">
        <v>112</v>
      </c>
      <c r="D267" s="42" t="s">
        <v>794</v>
      </c>
      <c r="E267" s="38" t="s">
        <v>771</v>
      </c>
      <c r="F267" s="49">
        <v>2.15</v>
      </c>
      <c r="G267" s="63">
        <v>2400</v>
      </c>
      <c r="H267" s="36" t="s">
        <v>766</v>
      </c>
      <c r="I267" s="36" t="s">
        <v>46</v>
      </c>
      <c r="J267" s="36" t="s">
        <v>756</v>
      </c>
      <c r="K267" s="101"/>
    </row>
    <row r="268" spans="1:11" x14ac:dyDescent="0.2">
      <c r="A268" s="6">
        <v>556</v>
      </c>
      <c r="B268" s="6" t="s">
        <v>120</v>
      </c>
      <c r="C268" s="6" t="s">
        <v>113</v>
      </c>
      <c r="D268" s="42" t="s">
        <v>795</v>
      </c>
      <c r="E268" s="38" t="s">
        <v>765</v>
      </c>
      <c r="F268" s="49">
        <v>21.7</v>
      </c>
      <c r="G268" s="81">
        <v>2400.2669999999998</v>
      </c>
      <c r="H268" s="36" t="s">
        <v>766</v>
      </c>
      <c r="I268" s="36" t="s">
        <v>98</v>
      </c>
      <c r="J268" s="36" t="s">
        <v>767</v>
      </c>
      <c r="K268" s="46"/>
    </row>
    <row r="269" spans="1:11" x14ac:dyDescent="0.2">
      <c r="A269" s="5">
        <v>557</v>
      </c>
      <c r="B269" s="6" t="s">
        <v>120</v>
      </c>
      <c r="C269" s="6" t="s">
        <v>113</v>
      </c>
      <c r="D269" s="42" t="s">
        <v>796</v>
      </c>
      <c r="E269" s="38" t="s">
        <v>769</v>
      </c>
      <c r="F269" s="49">
        <v>2.5</v>
      </c>
      <c r="G269" s="63">
        <v>2400</v>
      </c>
      <c r="H269" s="36" t="s">
        <v>766</v>
      </c>
      <c r="I269" s="36" t="s">
        <v>46</v>
      </c>
      <c r="J269" s="36" t="s">
        <v>763</v>
      </c>
      <c r="K269" s="46"/>
    </row>
    <row r="270" spans="1:11" x14ac:dyDescent="0.2">
      <c r="A270" s="5">
        <v>558</v>
      </c>
      <c r="B270" s="6" t="s">
        <v>120</v>
      </c>
      <c r="C270" s="6" t="s">
        <v>113</v>
      </c>
      <c r="D270" s="42" t="s">
        <v>797</v>
      </c>
      <c r="E270" s="38" t="s">
        <v>771</v>
      </c>
      <c r="F270" s="49">
        <v>2.25</v>
      </c>
      <c r="G270" s="63">
        <v>2400</v>
      </c>
      <c r="H270" s="36" t="s">
        <v>766</v>
      </c>
      <c r="I270" s="36" t="s">
        <v>46</v>
      </c>
      <c r="J270" s="36" t="s">
        <v>756</v>
      </c>
      <c r="K270" s="46"/>
    </row>
    <row r="271" spans="1:11" x14ac:dyDescent="0.2">
      <c r="A271" s="6">
        <v>595</v>
      </c>
      <c r="B271" s="6" t="s">
        <v>120</v>
      </c>
      <c r="C271" s="6" t="s">
        <v>114</v>
      </c>
      <c r="D271" s="42" t="s">
        <v>798</v>
      </c>
      <c r="E271" s="38" t="s">
        <v>765</v>
      </c>
      <c r="F271" s="49">
        <v>20.3</v>
      </c>
      <c r="G271" s="63">
        <v>2670</v>
      </c>
      <c r="H271" s="36" t="s">
        <v>766</v>
      </c>
      <c r="I271" s="36" t="s">
        <v>101</v>
      </c>
      <c r="J271" s="36" t="s">
        <v>767</v>
      </c>
      <c r="K271" s="46"/>
    </row>
    <row r="272" spans="1:11" x14ac:dyDescent="0.2">
      <c r="A272" s="5">
        <v>596</v>
      </c>
      <c r="B272" s="6" t="s">
        <v>120</v>
      </c>
      <c r="C272" s="6" t="s">
        <v>114</v>
      </c>
      <c r="D272" s="42" t="s">
        <v>799</v>
      </c>
      <c r="E272" s="38" t="s">
        <v>769</v>
      </c>
      <c r="F272" s="49">
        <v>2.5</v>
      </c>
      <c r="G272" s="63">
        <v>2400</v>
      </c>
      <c r="H272" s="36" t="s">
        <v>766</v>
      </c>
      <c r="I272" s="36" t="s">
        <v>46</v>
      </c>
      <c r="J272" s="36" t="s">
        <v>756</v>
      </c>
      <c r="K272" s="46"/>
    </row>
    <row r="273" spans="1:11" x14ac:dyDescent="0.2">
      <c r="A273" s="5">
        <v>597</v>
      </c>
      <c r="B273" s="6" t="s">
        <v>120</v>
      </c>
      <c r="C273" s="6" t="s">
        <v>114</v>
      </c>
      <c r="D273" s="42" t="s">
        <v>800</v>
      </c>
      <c r="E273" s="38" t="s">
        <v>771</v>
      </c>
      <c r="F273" s="49">
        <v>2.2000000000000002</v>
      </c>
      <c r="G273" s="63">
        <v>2400</v>
      </c>
      <c r="H273" s="36" t="s">
        <v>766</v>
      </c>
      <c r="I273" s="36" t="s">
        <v>46</v>
      </c>
      <c r="J273" s="36" t="s">
        <v>763</v>
      </c>
      <c r="K273" s="46"/>
    </row>
    <row r="274" spans="1:11" x14ac:dyDescent="0.2">
      <c r="A274" s="6">
        <v>280</v>
      </c>
      <c r="B274" s="6" t="s">
        <v>118</v>
      </c>
      <c r="C274" s="6" t="s">
        <v>112</v>
      </c>
      <c r="D274" s="42" t="s">
        <v>801</v>
      </c>
      <c r="E274" s="38" t="s">
        <v>802</v>
      </c>
      <c r="F274" s="49">
        <v>4.75</v>
      </c>
      <c r="G274" s="63">
        <v>2400</v>
      </c>
      <c r="H274" s="36" t="s">
        <v>654</v>
      </c>
      <c r="I274" s="36" t="s">
        <v>58</v>
      </c>
      <c r="J274" s="36" t="s">
        <v>756</v>
      </c>
      <c r="K274" s="46"/>
    </row>
    <row r="275" spans="1:11" x14ac:dyDescent="0.2">
      <c r="A275" s="5">
        <v>281</v>
      </c>
      <c r="B275" s="6" t="s">
        <v>118</v>
      </c>
      <c r="C275" s="6" t="s">
        <v>112</v>
      </c>
      <c r="D275" s="42" t="s">
        <v>803</v>
      </c>
      <c r="E275" s="38" t="s">
        <v>804</v>
      </c>
      <c r="F275" s="49">
        <v>4.45</v>
      </c>
      <c r="G275" s="63">
        <v>2400</v>
      </c>
      <c r="H275" s="36" t="s">
        <v>654</v>
      </c>
      <c r="I275" s="36" t="s">
        <v>70</v>
      </c>
      <c r="J275" s="36" t="s">
        <v>756</v>
      </c>
      <c r="K275" s="46"/>
    </row>
    <row r="276" spans="1:11" x14ac:dyDescent="0.2">
      <c r="A276" s="5">
        <v>282</v>
      </c>
      <c r="B276" s="6" t="s">
        <v>118</v>
      </c>
      <c r="C276" s="6" t="s">
        <v>112</v>
      </c>
      <c r="D276" s="42" t="s">
        <v>805</v>
      </c>
      <c r="E276" s="38" t="s">
        <v>806</v>
      </c>
      <c r="F276" s="49">
        <v>6.8</v>
      </c>
      <c r="G276" s="63">
        <v>2400</v>
      </c>
      <c r="H276" s="36" t="s">
        <v>654</v>
      </c>
      <c r="I276" s="36" t="s">
        <v>34</v>
      </c>
      <c r="J276" s="36" t="s">
        <v>756</v>
      </c>
      <c r="K276" s="46"/>
    </row>
    <row r="277" spans="1:11" x14ac:dyDescent="0.2">
      <c r="A277" s="6">
        <v>319</v>
      </c>
      <c r="B277" s="6" t="s">
        <v>118</v>
      </c>
      <c r="C277" s="6" t="s">
        <v>113</v>
      </c>
      <c r="D277" s="42" t="s">
        <v>807</v>
      </c>
      <c r="E277" s="38" t="s">
        <v>802</v>
      </c>
      <c r="F277" s="49">
        <v>4.45</v>
      </c>
      <c r="G277" s="63">
        <v>2400</v>
      </c>
      <c r="H277" s="36" t="s">
        <v>654</v>
      </c>
      <c r="I277" s="36" t="s">
        <v>58</v>
      </c>
      <c r="J277" s="36" t="s">
        <v>756</v>
      </c>
      <c r="K277" s="101"/>
    </row>
    <row r="278" spans="1:11" x14ac:dyDescent="0.2">
      <c r="A278" s="5">
        <v>320</v>
      </c>
      <c r="B278" s="6" t="s">
        <v>118</v>
      </c>
      <c r="C278" s="6" t="s">
        <v>113</v>
      </c>
      <c r="D278" s="42" t="s">
        <v>808</v>
      </c>
      <c r="E278" s="38" t="s">
        <v>804</v>
      </c>
      <c r="F278" s="50">
        <v>4.45</v>
      </c>
      <c r="G278" s="63">
        <v>2400</v>
      </c>
      <c r="H278" s="36" t="s">
        <v>654</v>
      </c>
      <c r="I278" s="36" t="s">
        <v>97</v>
      </c>
      <c r="J278" s="36" t="s">
        <v>756</v>
      </c>
      <c r="K278" s="101"/>
    </row>
    <row r="279" spans="1:11" x14ac:dyDescent="0.2">
      <c r="A279" s="5">
        <v>321</v>
      </c>
      <c r="B279" s="6" t="s">
        <v>118</v>
      </c>
      <c r="C279" s="6" t="s">
        <v>113</v>
      </c>
      <c r="D279" s="42" t="s">
        <v>809</v>
      </c>
      <c r="E279" s="38" t="s">
        <v>806</v>
      </c>
      <c r="F279" s="49">
        <v>8.15</v>
      </c>
      <c r="G279" s="63">
        <v>2400</v>
      </c>
      <c r="H279" s="36" t="s">
        <v>654</v>
      </c>
      <c r="I279" s="36" t="s">
        <v>34</v>
      </c>
      <c r="J279" s="36" t="s">
        <v>756</v>
      </c>
      <c r="K279" s="101"/>
    </row>
    <row r="280" spans="1:11" x14ac:dyDescent="0.2">
      <c r="A280" s="5">
        <v>357</v>
      </c>
      <c r="B280" s="6" t="s">
        <v>118</v>
      </c>
      <c r="C280" s="6" t="s">
        <v>114</v>
      </c>
      <c r="D280" s="42" t="s">
        <v>810</v>
      </c>
      <c r="E280" s="38" t="s">
        <v>811</v>
      </c>
      <c r="F280" s="39">
        <v>4.6500000000000004</v>
      </c>
      <c r="G280" s="78">
        <v>2400</v>
      </c>
      <c r="H280" s="36" t="s">
        <v>812</v>
      </c>
      <c r="I280" s="36" t="s">
        <v>58</v>
      </c>
      <c r="J280" s="36" t="s">
        <v>752</v>
      </c>
      <c r="K280" s="46"/>
    </row>
    <row r="281" spans="1:11" x14ac:dyDescent="0.2">
      <c r="A281" s="6">
        <v>358</v>
      </c>
      <c r="B281" s="6" t="s">
        <v>118</v>
      </c>
      <c r="C281" s="6" t="s">
        <v>114</v>
      </c>
      <c r="D281" s="42" t="s">
        <v>813</v>
      </c>
      <c r="E281" s="38" t="s">
        <v>814</v>
      </c>
      <c r="F281" s="39">
        <v>4.45</v>
      </c>
      <c r="G281" s="78">
        <v>2400</v>
      </c>
      <c r="H281" s="36" t="s">
        <v>812</v>
      </c>
      <c r="I281" s="36" t="s">
        <v>89</v>
      </c>
      <c r="J281" s="36" t="s">
        <v>752</v>
      </c>
      <c r="K281" s="46"/>
    </row>
    <row r="282" spans="1:11" x14ac:dyDescent="0.2">
      <c r="A282" s="5">
        <v>389</v>
      </c>
      <c r="B282" s="6" t="s">
        <v>119</v>
      </c>
      <c r="C282" s="6" t="s">
        <v>112</v>
      </c>
      <c r="D282" s="42" t="s">
        <v>815</v>
      </c>
      <c r="E282" s="38" t="s">
        <v>811</v>
      </c>
      <c r="F282" s="39">
        <v>4.75</v>
      </c>
      <c r="G282" s="78">
        <v>2400</v>
      </c>
      <c r="H282" s="36" t="s">
        <v>812</v>
      </c>
      <c r="I282" s="36" t="s">
        <v>58</v>
      </c>
      <c r="J282" s="36" t="s">
        <v>752</v>
      </c>
      <c r="K282" s="46"/>
    </row>
    <row r="283" spans="1:11" x14ac:dyDescent="0.2">
      <c r="A283" s="5">
        <v>390</v>
      </c>
      <c r="B283" s="6" t="s">
        <v>119</v>
      </c>
      <c r="C283" s="6" t="s">
        <v>112</v>
      </c>
      <c r="D283" s="42" t="s">
        <v>816</v>
      </c>
      <c r="E283" s="102" t="s">
        <v>104</v>
      </c>
      <c r="F283" s="39">
        <v>4.45</v>
      </c>
      <c r="G283" s="78">
        <v>2400</v>
      </c>
      <c r="H283" s="36" t="s">
        <v>812</v>
      </c>
      <c r="I283" s="36" t="s">
        <v>70</v>
      </c>
      <c r="J283" s="36" t="s">
        <v>752</v>
      </c>
      <c r="K283" s="46"/>
    </row>
    <row r="284" spans="1:11" x14ac:dyDescent="0.2">
      <c r="A284" s="6">
        <v>391</v>
      </c>
      <c r="B284" s="6" t="s">
        <v>119</v>
      </c>
      <c r="C284" s="6" t="s">
        <v>112</v>
      </c>
      <c r="D284" s="42" t="s">
        <v>817</v>
      </c>
      <c r="E284" s="38" t="s">
        <v>818</v>
      </c>
      <c r="F284" s="39">
        <v>6.8</v>
      </c>
      <c r="G284" s="78">
        <v>2400</v>
      </c>
      <c r="H284" s="36" t="s">
        <v>812</v>
      </c>
      <c r="I284" s="36" t="s">
        <v>34</v>
      </c>
      <c r="J284" s="36" t="s">
        <v>752</v>
      </c>
      <c r="K284" s="46"/>
    </row>
    <row r="285" spans="1:11" x14ac:dyDescent="0.2">
      <c r="A285" s="5">
        <v>429</v>
      </c>
      <c r="B285" s="6" t="s">
        <v>119</v>
      </c>
      <c r="C285" s="6" t="s">
        <v>113</v>
      </c>
      <c r="D285" s="42" t="s">
        <v>819</v>
      </c>
      <c r="E285" s="38" t="s">
        <v>802</v>
      </c>
      <c r="F285" s="52">
        <v>4.45</v>
      </c>
      <c r="G285" s="63">
        <v>2400</v>
      </c>
      <c r="H285" s="36" t="s">
        <v>654</v>
      </c>
      <c r="I285" s="36" t="s">
        <v>58</v>
      </c>
      <c r="J285" s="36" t="s">
        <v>756</v>
      </c>
      <c r="K285" s="46"/>
    </row>
    <row r="286" spans="1:11" x14ac:dyDescent="0.2">
      <c r="A286" s="6">
        <v>430</v>
      </c>
      <c r="B286" s="6" t="s">
        <v>119</v>
      </c>
      <c r="C286" s="6" t="s">
        <v>113</v>
      </c>
      <c r="D286" s="42" t="s">
        <v>820</v>
      </c>
      <c r="E286" s="38" t="s">
        <v>804</v>
      </c>
      <c r="F286" s="52">
        <v>4.45</v>
      </c>
      <c r="G286" s="63">
        <v>2400</v>
      </c>
      <c r="H286" s="36" t="s">
        <v>654</v>
      </c>
      <c r="I286" s="36" t="s">
        <v>97</v>
      </c>
      <c r="J286" s="36" t="s">
        <v>756</v>
      </c>
      <c r="K286" s="46"/>
    </row>
    <row r="287" spans="1:11" x14ac:dyDescent="0.2">
      <c r="A287" s="5">
        <v>431</v>
      </c>
      <c r="B287" s="6" t="s">
        <v>119</v>
      </c>
      <c r="C287" s="6" t="s">
        <v>113</v>
      </c>
      <c r="D287" s="64" t="s">
        <v>821</v>
      </c>
      <c r="E287" s="65" t="s">
        <v>806</v>
      </c>
      <c r="F287" s="103">
        <v>8.15</v>
      </c>
      <c r="G287" s="67">
        <v>2400</v>
      </c>
      <c r="H287" s="53" t="s">
        <v>654</v>
      </c>
      <c r="I287" s="53" t="s">
        <v>34</v>
      </c>
      <c r="J287" s="53" t="s">
        <v>756</v>
      </c>
      <c r="K287" s="68"/>
    </row>
    <row r="288" spans="1:11" x14ac:dyDescent="0.2">
      <c r="A288" s="5">
        <v>468</v>
      </c>
      <c r="B288" s="6" t="s">
        <v>119</v>
      </c>
      <c r="C288" s="6" t="s">
        <v>114</v>
      </c>
      <c r="D288" s="69" t="s">
        <v>822</v>
      </c>
      <c r="E288" s="31" t="s">
        <v>802</v>
      </c>
      <c r="F288" s="70">
        <v>4.8499999999999996</v>
      </c>
      <c r="G288" s="71">
        <v>2400</v>
      </c>
      <c r="H288" s="34" t="s">
        <v>654</v>
      </c>
      <c r="I288" s="34" t="s">
        <v>58</v>
      </c>
      <c r="J288" s="34" t="s">
        <v>756</v>
      </c>
      <c r="K288" s="72"/>
    </row>
    <row r="289" spans="1:11" x14ac:dyDescent="0.2">
      <c r="A289" s="6">
        <v>469</v>
      </c>
      <c r="B289" s="6" t="s">
        <v>119</v>
      </c>
      <c r="C289" s="6" t="s">
        <v>114</v>
      </c>
      <c r="D289" s="42" t="s">
        <v>823</v>
      </c>
      <c r="E289" s="73" t="s">
        <v>104</v>
      </c>
      <c r="F289" s="50">
        <v>4.45</v>
      </c>
      <c r="G289" s="63">
        <v>2400</v>
      </c>
      <c r="H289" s="36" t="s">
        <v>654</v>
      </c>
      <c r="I289" s="36" t="s">
        <v>89</v>
      </c>
      <c r="J289" s="36" t="s">
        <v>756</v>
      </c>
      <c r="K289" s="46"/>
    </row>
    <row r="290" spans="1:11" x14ac:dyDescent="0.2">
      <c r="A290" s="5">
        <v>470</v>
      </c>
      <c r="B290" s="6" t="s">
        <v>119</v>
      </c>
      <c r="C290" s="6" t="s">
        <v>114</v>
      </c>
      <c r="D290" s="42" t="s">
        <v>824</v>
      </c>
      <c r="E290" s="38" t="s">
        <v>806</v>
      </c>
      <c r="F290" s="49">
        <v>7.65</v>
      </c>
      <c r="G290" s="63">
        <v>2400</v>
      </c>
      <c r="H290" s="36" t="s">
        <v>654</v>
      </c>
      <c r="I290" s="36" t="s">
        <v>36</v>
      </c>
      <c r="J290" s="36" t="s">
        <v>756</v>
      </c>
      <c r="K290" s="46"/>
    </row>
    <row r="291" spans="1:11" x14ac:dyDescent="0.2">
      <c r="A291" s="6">
        <v>508</v>
      </c>
      <c r="B291" s="6" t="s">
        <v>120</v>
      </c>
      <c r="C291" s="6" t="s">
        <v>112</v>
      </c>
      <c r="D291" s="42" t="s">
        <v>825</v>
      </c>
      <c r="E291" s="38" t="s">
        <v>802</v>
      </c>
      <c r="F291" s="50">
        <v>4.75</v>
      </c>
      <c r="G291" s="63">
        <v>2400</v>
      </c>
      <c r="H291" s="36" t="s">
        <v>654</v>
      </c>
      <c r="I291" s="36" t="s">
        <v>58</v>
      </c>
      <c r="J291" s="36" t="s">
        <v>756</v>
      </c>
      <c r="K291" s="101"/>
    </row>
    <row r="292" spans="1:11" x14ac:dyDescent="0.2">
      <c r="A292" s="5">
        <v>509</v>
      </c>
      <c r="B292" s="6" t="s">
        <v>120</v>
      </c>
      <c r="C292" s="6" t="s">
        <v>112</v>
      </c>
      <c r="D292" s="42" t="s">
        <v>826</v>
      </c>
      <c r="E292" s="38" t="s">
        <v>804</v>
      </c>
      <c r="F292" s="49">
        <v>4.45</v>
      </c>
      <c r="G292" s="63">
        <v>2400</v>
      </c>
      <c r="H292" s="36" t="s">
        <v>654</v>
      </c>
      <c r="I292" s="36" t="s">
        <v>70</v>
      </c>
      <c r="J292" s="36" t="s">
        <v>756</v>
      </c>
      <c r="K292" s="101"/>
    </row>
    <row r="293" spans="1:11" x14ac:dyDescent="0.2">
      <c r="A293" s="5">
        <v>510</v>
      </c>
      <c r="B293" s="6" t="s">
        <v>120</v>
      </c>
      <c r="C293" s="6" t="s">
        <v>112</v>
      </c>
      <c r="D293" s="42" t="s">
        <v>827</v>
      </c>
      <c r="E293" s="38" t="s">
        <v>806</v>
      </c>
      <c r="F293" s="49">
        <v>6.8</v>
      </c>
      <c r="G293" s="63">
        <v>2400</v>
      </c>
      <c r="H293" s="36" t="s">
        <v>654</v>
      </c>
      <c r="I293" s="36" t="s">
        <v>34</v>
      </c>
      <c r="J293" s="36" t="s">
        <v>756</v>
      </c>
      <c r="K293" s="101"/>
    </row>
    <row r="294" spans="1:11" x14ac:dyDescent="0.2">
      <c r="A294" s="6">
        <v>547</v>
      </c>
      <c r="B294" s="6" t="s">
        <v>120</v>
      </c>
      <c r="C294" s="6" t="s">
        <v>113</v>
      </c>
      <c r="D294" s="42" t="s">
        <v>828</v>
      </c>
      <c r="E294" s="38" t="s">
        <v>802</v>
      </c>
      <c r="F294" s="49">
        <v>4.45</v>
      </c>
      <c r="G294" s="63">
        <v>2400</v>
      </c>
      <c r="H294" s="36" t="s">
        <v>654</v>
      </c>
      <c r="I294" s="36" t="s">
        <v>58</v>
      </c>
      <c r="J294" s="36" t="s">
        <v>756</v>
      </c>
      <c r="K294" s="46"/>
    </row>
    <row r="295" spans="1:11" x14ac:dyDescent="0.2">
      <c r="A295" s="5">
        <v>548</v>
      </c>
      <c r="B295" s="6" t="s">
        <v>120</v>
      </c>
      <c r="C295" s="6" t="s">
        <v>113</v>
      </c>
      <c r="D295" s="42" t="s">
        <v>829</v>
      </c>
      <c r="E295" s="38" t="s">
        <v>804</v>
      </c>
      <c r="F295" s="49">
        <v>4.45</v>
      </c>
      <c r="G295" s="63">
        <v>2400</v>
      </c>
      <c r="H295" s="36" t="s">
        <v>654</v>
      </c>
      <c r="I295" s="36" t="s">
        <v>97</v>
      </c>
      <c r="J295" s="36" t="s">
        <v>756</v>
      </c>
      <c r="K295" s="46"/>
    </row>
    <row r="296" spans="1:11" x14ac:dyDescent="0.2">
      <c r="A296" s="5">
        <v>549</v>
      </c>
      <c r="B296" s="6" t="s">
        <v>120</v>
      </c>
      <c r="C296" s="6" t="s">
        <v>113</v>
      </c>
      <c r="D296" s="42" t="s">
        <v>830</v>
      </c>
      <c r="E296" s="38" t="s">
        <v>806</v>
      </c>
      <c r="F296" s="49">
        <v>8.15</v>
      </c>
      <c r="G296" s="63">
        <v>2400</v>
      </c>
      <c r="H296" s="36" t="s">
        <v>654</v>
      </c>
      <c r="I296" s="36" t="s">
        <v>34</v>
      </c>
      <c r="J296" s="36" t="s">
        <v>756</v>
      </c>
      <c r="K296" s="46"/>
    </row>
    <row r="297" spans="1:11" x14ac:dyDescent="0.2">
      <c r="A297" s="6">
        <v>586</v>
      </c>
      <c r="B297" s="6" t="s">
        <v>120</v>
      </c>
      <c r="C297" s="6" t="s">
        <v>114</v>
      </c>
      <c r="D297" s="42" t="s">
        <v>831</v>
      </c>
      <c r="E297" s="38" t="s">
        <v>802</v>
      </c>
      <c r="F297" s="49">
        <v>4.8499999999999996</v>
      </c>
      <c r="G297" s="63">
        <v>2400</v>
      </c>
      <c r="H297" s="36" t="s">
        <v>654</v>
      </c>
      <c r="I297" s="36" t="s">
        <v>58</v>
      </c>
      <c r="J297" s="36" t="s">
        <v>756</v>
      </c>
      <c r="K297" s="46"/>
    </row>
    <row r="298" spans="1:11" x14ac:dyDescent="0.2">
      <c r="A298" s="5">
        <v>587</v>
      </c>
      <c r="B298" s="6" t="s">
        <v>120</v>
      </c>
      <c r="C298" s="6" t="s">
        <v>114</v>
      </c>
      <c r="D298" s="42" t="s">
        <v>832</v>
      </c>
      <c r="E298" s="73" t="s">
        <v>104</v>
      </c>
      <c r="F298" s="49">
        <v>4.45</v>
      </c>
      <c r="G298" s="63">
        <v>2400</v>
      </c>
      <c r="H298" s="36" t="s">
        <v>654</v>
      </c>
      <c r="I298" s="36" t="s">
        <v>89</v>
      </c>
      <c r="J298" s="36" t="s">
        <v>833</v>
      </c>
      <c r="K298" s="46"/>
    </row>
    <row r="299" spans="1:11" x14ac:dyDescent="0.2">
      <c r="A299" s="5">
        <v>588</v>
      </c>
      <c r="B299" s="6" t="s">
        <v>120</v>
      </c>
      <c r="C299" s="6" t="s">
        <v>114</v>
      </c>
      <c r="D299" s="42" t="s">
        <v>834</v>
      </c>
      <c r="E299" s="38" t="s">
        <v>806</v>
      </c>
      <c r="F299" s="49">
        <v>7.65</v>
      </c>
      <c r="G299" s="63">
        <v>2400</v>
      </c>
      <c r="H299" s="36" t="s">
        <v>654</v>
      </c>
      <c r="I299" s="36" t="s">
        <v>36</v>
      </c>
      <c r="J299" s="36" t="s">
        <v>756</v>
      </c>
      <c r="K299" s="46"/>
    </row>
    <row r="300" spans="1:11" x14ac:dyDescent="0.2">
      <c r="A300" s="82">
        <v>359</v>
      </c>
      <c r="B300" s="83" t="s">
        <v>118</v>
      </c>
      <c r="C300" s="83" t="s">
        <v>114</v>
      </c>
      <c r="D300" s="84" t="s">
        <v>228</v>
      </c>
      <c r="E300" s="85" t="s">
        <v>229</v>
      </c>
      <c r="F300" s="86">
        <f>7.65-3.67</f>
        <v>3.9800000000000004</v>
      </c>
      <c r="G300" s="104">
        <v>2400</v>
      </c>
      <c r="H300" s="45" t="s">
        <v>231</v>
      </c>
      <c r="I300" s="45" t="s">
        <v>36</v>
      </c>
      <c r="J300" s="45" t="s">
        <v>26</v>
      </c>
      <c r="K300" s="88"/>
    </row>
    <row r="301" spans="1:11" ht="30" x14ac:dyDescent="0.2">
      <c r="A301" s="5">
        <v>276</v>
      </c>
      <c r="B301" s="6" t="s">
        <v>118</v>
      </c>
      <c r="C301" s="6" t="s">
        <v>112</v>
      </c>
      <c r="D301" s="42" t="s">
        <v>835</v>
      </c>
      <c r="E301" s="38" t="s">
        <v>679</v>
      </c>
      <c r="F301" s="49">
        <v>71.8</v>
      </c>
      <c r="G301" s="63">
        <v>2830</v>
      </c>
      <c r="H301" s="36" t="s">
        <v>656</v>
      </c>
      <c r="I301" s="40" t="s">
        <v>86</v>
      </c>
      <c r="J301" s="36" t="s">
        <v>836</v>
      </c>
      <c r="K301" s="46"/>
    </row>
    <row r="302" spans="1:11" x14ac:dyDescent="0.2">
      <c r="A302" s="6">
        <v>277</v>
      </c>
      <c r="B302" s="6" t="s">
        <v>118</v>
      </c>
      <c r="C302" s="6" t="s">
        <v>112</v>
      </c>
      <c r="D302" s="42" t="s">
        <v>837</v>
      </c>
      <c r="E302" s="38" t="s">
        <v>679</v>
      </c>
      <c r="F302" s="49">
        <v>18.850000000000001</v>
      </c>
      <c r="G302" s="63">
        <v>2830</v>
      </c>
      <c r="H302" s="36" t="s">
        <v>656</v>
      </c>
      <c r="I302" s="36" t="s">
        <v>73</v>
      </c>
      <c r="J302" s="36" t="s">
        <v>836</v>
      </c>
      <c r="K302" s="46"/>
    </row>
    <row r="303" spans="1:11" ht="15.75" thickBot="1" x14ac:dyDescent="0.25">
      <c r="A303" s="5">
        <v>278</v>
      </c>
      <c r="B303" s="6" t="s">
        <v>118</v>
      </c>
      <c r="C303" s="6" t="s">
        <v>112</v>
      </c>
      <c r="D303" s="64" t="s">
        <v>838</v>
      </c>
      <c r="E303" s="65" t="s">
        <v>679</v>
      </c>
      <c r="F303" s="66">
        <v>53.5</v>
      </c>
      <c r="G303" s="67">
        <v>2830</v>
      </c>
      <c r="H303" s="53" t="s">
        <v>656</v>
      </c>
      <c r="I303" s="53" t="s">
        <v>87</v>
      </c>
      <c r="J303" s="53" t="s">
        <v>836</v>
      </c>
      <c r="K303" s="68"/>
    </row>
    <row r="304" spans="1:11" ht="15.75" thickBot="1" x14ac:dyDescent="0.25">
      <c r="A304" s="5">
        <v>279</v>
      </c>
      <c r="B304" s="6" t="s">
        <v>118</v>
      </c>
      <c r="C304" s="6" t="s">
        <v>112</v>
      </c>
      <c r="D304" s="105" t="s">
        <v>839</v>
      </c>
      <c r="E304" s="106" t="s">
        <v>679</v>
      </c>
      <c r="F304" s="107">
        <v>38.299999999999997</v>
      </c>
      <c r="G304" s="108">
        <v>2830</v>
      </c>
      <c r="H304" s="109" t="s">
        <v>656</v>
      </c>
      <c r="I304" s="109" t="s">
        <v>88</v>
      </c>
      <c r="J304" s="109" t="s">
        <v>836</v>
      </c>
      <c r="K304" s="110"/>
    </row>
    <row r="305" spans="1:11" x14ac:dyDescent="0.2">
      <c r="A305" s="6">
        <v>283</v>
      </c>
      <c r="B305" s="6" t="s">
        <v>118</v>
      </c>
      <c r="C305" s="6" t="s">
        <v>112</v>
      </c>
      <c r="D305" s="105" t="s">
        <v>840</v>
      </c>
      <c r="E305" s="106" t="s">
        <v>841</v>
      </c>
      <c r="F305" s="107">
        <v>8.15</v>
      </c>
      <c r="G305" s="108">
        <v>2400</v>
      </c>
      <c r="H305" s="109" t="s">
        <v>656</v>
      </c>
      <c r="I305" s="109" t="s">
        <v>89</v>
      </c>
      <c r="J305" s="109" t="s">
        <v>763</v>
      </c>
      <c r="K305" s="110"/>
    </row>
    <row r="306" spans="1:11" x14ac:dyDescent="0.2">
      <c r="A306" s="5">
        <v>284</v>
      </c>
      <c r="B306" s="6" t="s">
        <v>118</v>
      </c>
      <c r="C306" s="6" t="s">
        <v>112</v>
      </c>
      <c r="D306" s="42" t="s">
        <v>842</v>
      </c>
      <c r="E306" s="38" t="s">
        <v>843</v>
      </c>
      <c r="F306" s="49">
        <v>8.0500000000000007</v>
      </c>
      <c r="G306" s="63">
        <v>2400</v>
      </c>
      <c r="H306" s="36" t="s">
        <v>656</v>
      </c>
      <c r="I306" s="36" t="s">
        <v>36</v>
      </c>
      <c r="J306" s="36" t="s">
        <v>756</v>
      </c>
      <c r="K306" s="46"/>
    </row>
    <row r="307" spans="1:11" x14ac:dyDescent="0.2">
      <c r="A307" s="5">
        <v>285</v>
      </c>
      <c r="B307" s="6" t="s">
        <v>118</v>
      </c>
      <c r="C307" s="6" t="s">
        <v>112</v>
      </c>
      <c r="D307" s="42" t="s">
        <v>844</v>
      </c>
      <c r="E307" s="38" t="s">
        <v>845</v>
      </c>
      <c r="F307" s="49">
        <v>17.399999999999999</v>
      </c>
      <c r="G307" s="63">
        <v>2400</v>
      </c>
      <c r="H307" s="36" t="s">
        <v>656</v>
      </c>
      <c r="I307" s="36" t="s">
        <v>90</v>
      </c>
      <c r="J307" s="36" t="s">
        <v>763</v>
      </c>
      <c r="K307" s="46"/>
    </row>
    <row r="308" spans="1:11" x14ac:dyDescent="0.2">
      <c r="A308" s="6">
        <v>286</v>
      </c>
      <c r="B308" s="6" t="s">
        <v>118</v>
      </c>
      <c r="C308" s="6" t="s">
        <v>112</v>
      </c>
      <c r="D308" s="42" t="s">
        <v>846</v>
      </c>
      <c r="E308" s="38" t="s">
        <v>847</v>
      </c>
      <c r="F308" s="49">
        <v>71.400000000000006</v>
      </c>
      <c r="G308" s="63">
        <v>2830</v>
      </c>
      <c r="H308" s="36" t="s">
        <v>656</v>
      </c>
      <c r="I308" s="36" t="s">
        <v>9</v>
      </c>
      <c r="J308" s="36" t="s">
        <v>836</v>
      </c>
      <c r="K308" s="46"/>
    </row>
    <row r="309" spans="1:11" x14ac:dyDescent="0.2">
      <c r="A309" s="6">
        <v>292</v>
      </c>
      <c r="B309" s="6" t="s">
        <v>118</v>
      </c>
      <c r="C309" s="6" t="s">
        <v>112</v>
      </c>
      <c r="D309" s="42" t="s">
        <v>848</v>
      </c>
      <c r="E309" s="38" t="s">
        <v>849</v>
      </c>
      <c r="F309" s="49">
        <v>9.25</v>
      </c>
      <c r="G309" s="63">
        <v>2670</v>
      </c>
      <c r="H309" s="36" t="s">
        <v>656</v>
      </c>
      <c r="I309" s="36" t="s">
        <v>46</v>
      </c>
      <c r="J309" s="36" t="s">
        <v>756</v>
      </c>
      <c r="K309" s="46"/>
    </row>
    <row r="310" spans="1:11" x14ac:dyDescent="0.2">
      <c r="A310" s="5">
        <v>315</v>
      </c>
      <c r="B310" s="6" t="s">
        <v>118</v>
      </c>
      <c r="C310" s="6" t="s">
        <v>113</v>
      </c>
      <c r="D310" s="42" t="s">
        <v>850</v>
      </c>
      <c r="E310" s="38" t="s">
        <v>679</v>
      </c>
      <c r="F310" s="49">
        <v>50.2</v>
      </c>
      <c r="G310" s="63">
        <v>2830</v>
      </c>
      <c r="H310" s="36" t="s">
        <v>656</v>
      </c>
      <c r="I310" s="40" t="s">
        <v>81</v>
      </c>
      <c r="J310" s="36" t="s">
        <v>836</v>
      </c>
      <c r="K310" s="101"/>
    </row>
    <row r="311" spans="1:11" x14ac:dyDescent="0.2">
      <c r="A311" s="6">
        <v>316</v>
      </c>
      <c r="B311" s="6" t="s">
        <v>118</v>
      </c>
      <c r="C311" s="6" t="s">
        <v>113</v>
      </c>
      <c r="D311" s="42" t="s">
        <v>851</v>
      </c>
      <c r="E311" s="38" t="s">
        <v>679</v>
      </c>
      <c r="F311" s="49">
        <v>35.5</v>
      </c>
      <c r="G311" s="63">
        <v>2830</v>
      </c>
      <c r="H311" s="36" t="s">
        <v>656</v>
      </c>
      <c r="I311" s="36" t="s">
        <v>73</v>
      </c>
      <c r="J311" s="36" t="s">
        <v>836</v>
      </c>
      <c r="K311" s="101"/>
    </row>
    <row r="312" spans="1:11" x14ac:dyDescent="0.2">
      <c r="A312" s="5">
        <v>317</v>
      </c>
      <c r="B312" s="6" t="s">
        <v>118</v>
      </c>
      <c r="C312" s="6" t="s">
        <v>113</v>
      </c>
      <c r="D312" s="42" t="s">
        <v>852</v>
      </c>
      <c r="E312" s="38" t="s">
        <v>679</v>
      </c>
      <c r="F312" s="49">
        <v>18.5</v>
      </c>
      <c r="G312" s="63">
        <v>2830</v>
      </c>
      <c r="H312" s="36" t="s">
        <v>656</v>
      </c>
      <c r="I312" s="36" t="s">
        <v>95</v>
      </c>
      <c r="J312" s="36" t="s">
        <v>836</v>
      </c>
      <c r="K312" s="101"/>
    </row>
    <row r="313" spans="1:11" x14ac:dyDescent="0.2">
      <c r="A313" s="5">
        <v>318</v>
      </c>
      <c r="B313" s="6" t="s">
        <v>118</v>
      </c>
      <c r="C313" s="6" t="s">
        <v>113</v>
      </c>
      <c r="D313" s="42" t="s">
        <v>853</v>
      </c>
      <c r="E313" s="38" t="s">
        <v>679</v>
      </c>
      <c r="F313" s="49">
        <v>68</v>
      </c>
      <c r="G313" s="63">
        <v>2830</v>
      </c>
      <c r="H313" s="36" t="s">
        <v>656</v>
      </c>
      <c r="I313" s="36" t="s">
        <v>96</v>
      </c>
      <c r="J313" s="36" t="s">
        <v>836</v>
      </c>
      <c r="K313" s="101"/>
    </row>
    <row r="314" spans="1:11" x14ac:dyDescent="0.2">
      <c r="A314" s="6">
        <v>322</v>
      </c>
      <c r="B314" s="6" t="s">
        <v>118</v>
      </c>
      <c r="C314" s="6" t="s">
        <v>113</v>
      </c>
      <c r="D314" s="42" t="s">
        <v>854</v>
      </c>
      <c r="E314" s="38" t="s">
        <v>855</v>
      </c>
      <c r="F314" s="49">
        <v>8.15</v>
      </c>
      <c r="G314" s="63">
        <v>2400</v>
      </c>
      <c r="H314" s="36" t="s">
        <v>656</v>
      </c>
      <c r="I314" s="36" t="s">
        <v>89</v>
      </c>
      <c r="J314" s="36" t="s">
        <v>763</v>
      </c>
      <c r="K314" s="101"/>
    </row>
    <row r="315" spans="1:11" x14ac:dyDescent="0.2">
      <c r="A315" s="5">
        <v>323</v>
      </c>
      <c r="B315" s="6" t="s">
        <v>118</v>
      </c>
      <c r="C315" s="6" t="s">
        <v>113</v>
      </c>
      <c r="D315" s="42" t="s">
        <v>856</v>
      </c>
      <c r="E315" s="38" t="s">
        <v>843</v>
      </c>
      <c r="F315" s="49">
        <v>8.9499999999999993</v>
      </c>
      <c r="G315" s="63">
        <v>2400</v>
      </c>
      <c r="H315" s="36" t="s">
        <v>656</v>
      </c>
      <c r="I315" s="36" t="s">
        <v>36</v>
      </c>
      <c r="J315" s="36" t="s">
        <v>756</v>
      </c>
      <c r="K315" s="101"/>
    </row>
    <row r="316" spans="1:11" x14ac:dyDescent="0.2">
      <c r="A316" s="5">
        <v>324</v>
      </c>
      <c r="B316" s="6" t="s">
        <v>118</v>
      </c>
      <c r="C316" s="6" t="s">
        <v>113</v>
      </c>
      <c r="D316" s="42" t="s">
        <v>857</v>
      </c>
      <c r="E316" s="38" t="s">
        <v>845</v>
      </c>
      <c r="F316" s="49">
        <v>19.149999999999999</v>
      </c>
      <c r="G316" s="63">
        <v>2400</v>
      </c>
      <c r="H316" s="36" t="s">
        <v>656</v>
      </c>
      <c r="I316" s="36" t="s">
        <v>90</v>
      </c>
      <c r="J316" s="36" t="s">
        <v>763</v>
      </c>
      <c r="K316" s="101"/>
    </row>
    <row r="317" spans="1:11" x14ac:dyDescent="0.2">
      <c r="A317" s="6">
        <v>325</v>
      </c>
      <c r="B317" s="6" t="s">
        <v>118</v>
      </c>
      <c r="C317" s="6" t="s">
        <v>113</v>
      </c>
      <c r="D317" s="42" t="s">
        <v>858</v>
      </c>
      <c r="E317" s="38" t="s">
        <v>847</v>
      </c>
      <c r="F317" s="49">
        <v>74</v>
      </c>
      <c r="G317" s="63">
        <v>2830</v>
      </c>
      <c r="H317" s="36" t="s">
        <v>656</v>
      </c>
      <c r="I317" s="36" t="s">
        <v>9</v>
      </c>
      <c r="J317" s="36" t="s">
        <v>836</v>
      </c>
      <c r="K317" s="101"/>
    </row>
    <row r="318" spans="1:11" x14ac:dyDescent="0.2">
      <c r="A318" s="6">
        <v>331</v>
      </c>
      <c r="B318" s="6" t="s">
        <v>118</v>
      </c>
      <c r="C318" s="6" t="s">
        <v>113</v>
      </c>
      <c r="D318" s="42" t="s">
        <v>859</v>
      </c>
      <c r="E318" s="38" t="s">
        <v>849</v>
      </c>
      <c r="F318" s="49">
        <v>9.1999999999999993</v>
      </c>
      <c r="G318" s="63">
        <v>2670</v>
      </c>
      <c r="H318" s="36" t="s">
        <v>656</v>
      </c>
      <c r="I318" s="36" t="s">
        <v>46</v>
      </c>
      <c r="J318" s="36" t="s">
        <v>756</v>
      </c>
      <c r="K318" s="101"/>
    </row>
    <row r="319" spans="1:11" ht="30" x14ac:dyDescent="0.2">
      <c r="A319" s="5">
        <v>354</v>
      </c>
      <c r="B319" s="6" t="s">
        <v>118</v>
      </c>
      <c r="C319" s="6" t="s">
        <v>114</v>
      </c>
      <c r="D319" s="42" t="s">
        <v>860</v>
      </c>
      <c r="E319" s="38" t="s">
        <v>861</v>
      </c>
      <c r="F319" s="39">
        <v>71.8</v>
      </c>
      <c r="G319" s="78">
        <v>2830</v>
      </c>
      <c r="H319" s="36" t="s">
        <v>862</v>
      </c>
      <c r="I319" s="40" t="s">
        <v>86</v>
      </c>
      <c r="J319" s="36" t="s">
        <v>863</v>
      </c>
      <c r="K319" s="46"/>
    </row>
    <row r="320" spans="1:11" ht="30" x14ac:dyDescent="0.2">
      <c r="A320" s="6">
        <v>385</v>
      </c>
      <c r="B320" s="6" t="s">
        <v>119</v>
      </c>
      <c r="C320" s="6" t="s">
        <v>112</v>
      </c>
      <c r="D320" s="42" t="s">
        <v>864</v>
      </c>
      <c r="E320" s="38" t="s">
        <v>861</v>
      </c>
      <c r="F320" s="39">
        <v>71.8</v>
      </c>
      <c r="G320" s="78">
        <v>2830</v>
      </c>
      <c r="H320" s="36" t="s">
        <v>862</v>
      </c>
      <c r="I320" s="40" t="s">
        <v>86</v>
      </c>
      <c r="J320" s="36" t="s">
        <v>863</v>
      </c>
      <c r="K320" s="46"/>
    </row>
    <row r="321" spans="1:11" x14ac:dyDescent="0.2">
      <c r="A321" s="5">
        <v>386</v>
      </c>
      <c r="B321" s="6" t="s">
        <v>119</v>
      </c>
      <c r="C321" s="6" t="s">
        <v>112</v>
      </c>
      <c r="D321" s="42" t="s">
        <v>865</v>
      </c>
      <c r="E321" s="38" t="s">
        <v>861</v>
      </c>
      <c r="F321" s="39">
        <v>18.850000000000001</v>
      </c>
      <c r="G321" s="78">
        <v>2830</v>
      </c>
      <c r="H321" s="36" t="s">
        <v>862</v>
      </c>
      <c r="I321" s="36" t="s">
        <v>73</v>
      </c>
      <c r="J321" s="36" t="s">
        <v>863</v>
      </c>
      <c r="K321" s="46"/>
    </row>
    <row r="322" spans="1:11" x14ac:dyDescent="0.2">
      <c r="A322" s="5">
        <v>387</v>
      </c>
      <c r="B322" s="6" t="s">
        <v>119</v>
      </c>
      <c r="C322" s="6" t="s">
        <v>112</v>
      </c>
      <c r="D322" s="42" t="s">
        <v>866</v>
      </c>
      <c r="E322" s="38" t="s">
        <v>861</v>
      </c>
      <c r="F322" s="39">
        <v>53.65</v>
      </c>
      <c r="G322" s="78">
        <v>2830</v>
      </c>
      <c r="H322" s="36" t="s">
        <v>862</v>
      </c>
      <c r="I322" s="36" t="s">
        <v>88</v>
      </c>
      <c r="J322" s="36" t="s">
        <v>863</v>
      </c>
      <c r="K322" s="46"/>
    </row>
    <row r="323" spans="1:11" x14ac:dyDescent="0.2">
      <c r="A323" s="6">
        <v>388</v>
      </c>
      <c r="B323" s="6" t="s">
        <v>119</v>
      </c>
      <c r="C323" s="6" t="s">
        <v>112</v>
      </c>
      <c r="D323" s="42" t="s">
        <v>867</v>
      </c>
      <c r="E323" s="38" t="s">
        <v>861</v>
      </c>
      <c r="F323" s="39">
        <v>38.299999999999997</v>
      </c>
      <c r="G323" s="78">
        <v>2830</v>
      </c>
      <c r="H323" s="36" t="s">
        <v>862</v>
      </c>
      <c r="I323" s="36" t="s">
        <v>88</v>
      </c>
      <c r="J323" s="36" t="s">
        <v>863</v>
      </c>
      <c r="K323" s="46"/>
    </row>
    <row r="324" spans="1:11" x14ac:dyDescent="0.2">
      <c r="A324" s="5">
        <v>392</v>
      </c>
      <c r="B324" s="6" t="s">
        <v>119</v>
      </c>
      <c r="C324" s="6" t="s">
        <v>112</v>
      </c>
      <c r="D324" s="42" t="s">
        <v>868</v>
      </c>
      <c r="E324" s="38" t="s">
        <v>869</v>
      </c>
      <c r="F324" s="39">
        <v>8.15</v>
      </c>
      <c r="G324" s="78">
        <v>2400</v>
      </c>
      <c r="H324" s="36" t="s">
        <v>862</v>
      </c>
      <c r="I324" s="36" t="s">
        <v>89</v>
      </c>
      <c r="J324" s="36" t="s">
        <v>738</v>
      </c>
      <c r="K324" s="46"/>
    </row>
    <row r="325" spans="1:11" x14ac:dyDescent="0.2">
      <c r="A325" s="5">
        <v>393</v>
      </c>
      <c r="B325" s="6" t="s">
        <v>119</v>
      </c>
      <c r="C325" s="6" t="s">
        <v>112</v>
      </c>
      <c r="D325" s="42" t="s">
        <v>870</v>
      </c>
      <c r="E325" s="38" t="s">
        <v>871</v>
      </c>
      <c r="F325" s="39">
        <v>8.0500000000000007</v>
      </c>
      <c r="G325" s="78">
        <v>2400</v>
      </c>
      <c r="H325" s="36" t="s">
        <v>862</v>
      </c>
      <c r="I325" s="36" t="s">
        <v>36</v>
      </c>
      <c r="J325" s="36" t="s">
        <v>738</v>
      </c>
      <c r="K325" s="46"/>
    </row>
    <row r="326" spans="1:11" x14ac:dyDescent="0.2">
      <c r="A326" s="6">
        <v>394</v>
      </c>
      <c r="B326" s="6" t="s">
        <v>119</v>
      </c>
      <c r="C326" s="6" t="s">
        <v>112</v>
      </c>
      <c r="D326" s="42" t="s">
        <v>872</v>
      </c>
      <c r="E326" s="38" t="s">
        <v>873</v>
      </c>
      <c r="F326" s="39">
        <v>17.399999999999999</v>
      </c>
      <c r="G326" s="78">
        <v>2400</v>
      </c>
      <c r="H326" s="36" t="s">
        <v>862</v>
      </c>
      <c r="I326" s="36" t="s">
        <v>90</v>
      </c>
      <c r="J326" s="36" t="s">
        <v>738</v>
      </c>
      <c r="K326" s="46"/>
    </row>
    <row r="327" spans="1:11" x14ac:dyDescent="0.2">
      <c r="A327" s="5">
        <v>395</v>
      </c>
      <c r="B327" s="6" t="s">
        <v>119</v>
      </c>
      <c r="C327" s="6" t="s">
        <v>112</v>
      </c>
      <c r="D327" s="42" t="s">
        <v>874</v>
      </c>
      <c r="E327" s="38" t="s">
        <v>875</v>
      </c>
      <c r="F327" s="39">
        <v>71.400000000000006</v>
      </c>
      <c r="G327" s="78">
        <v>2830</v>
      </c>
      <c r="H327" s="36" t="s">
        <v>862</v>
      </c>
      <c r="I327" s="36" t="s">
        <v>9</v>
      </c>
      <c r="J327" s="36" t="s">
        <v>863</v>
      </c>
      <c r="K327" s="46"/>
    </row>
    <row r="328" spans="1:11" x14ac:dyDescent="0.2">
      <c r="A328" s="6">
        <v>397</v>
      </c>
      <c r="B328" s="6" t="s">
        <v>119</v>
      </c>
      <c r="C328" s="6" t="s">
        <v>112</v>
      </c>
      <c r="D328" s="42" t="s">
        <v>876</v>
      </c>
      <c r="E328" s="38" t="s">
        <v>877</v>
      </c>
      <c r="F328" s="39">
        <v>5.6</v>
      </c>
      <c r="G328" s="78">
        <v>2400</v>
      </c>
      <c r="H328" s="36" t="s">
        <v>862</v>
      </c>
      <c r="I328" s="36" t="s">
        <v>34</v>
      </c>
      <c r="J328" s="36" t="s">
        <v>752</v>
      </c>
      <c r="K328" s="46"/>
    </row>
    <row r="329" spans="1:11" x14ac:dyDescent="0.2">
      <c r="A329" s="5">
        <v>398</v>
      </c>
      <c r="B329" s="6" t="s">
        <v>119</v>
      </c>
      <c r="C329" s="6" t="s">
        <v>112</v>
      </c>
      <c r="D329" s="42" t="s">
        <v>878</v>
      </c>
      <c r="E329" s="38" t="s">
        <v>879</v>
      </c>
      <c r="F329" s="39">
        <v>15.85</v>
      </c>
      <c r="G329" s="36" t="s">
        <v>880</v>
      </c>
      <c r="H329" s="36" t="s">
        <v>862</v>
      </c>
      <c r="I329" s="36" t="s">
        <v>46</v>
      </c>
      <c r="J329" s="36" t="s">
        <v>738</v>
      </c>
      <c r="K329" s="46"/>
    </row>
    <row r="330" spans="1:11" x14ac:dyDescent="0.2">
      <c r="A330" s="5">
        <v>425</v>
      </c>
      <c r="B330" s="6" t="s">
        <v>119</v>
      </c>
      <c r="C330" s="6" t="s">
        <v>113</v>
      </c>
      <c r="D330" s="42" t="s">
        <v>881</v>
      </c>
      <c r="E330" s="38" t="s">
        <v>679</v>
      </c>
      <c r="F330" s="52">
        <v>50.2</v>
      </c>
      <c r="G330" s="63">
        <v>2830</v>
      </c>
      <c r="H330" s="36" t="s">
        <v>656</v>
      </c>
      <c r="I330" s="40" t="s">
        <v>81</v>
      </c>
      <c r="J330" s="36" t="s">
        <v>836</v>
      </c>
      <c r="K330" s="46"/>
    </row>
    <row r="331" spans="1:11" x14ac:dyDescent="0.2">
      <c r="A331" s="5">
        <v>426</v>
      </c>
      <c r="B331" s="6" t="s">
        <v>119</v>
      </c>
      <c r="C331" s="6" t="s">
        <v>113</v>
      </c>
      <c r="D331" s="42" t="s">
        <v>882</v>
      </c>
      <c r="E331" s="38" t="s">
        <v>679</v>
      </c>
      <c r="F331" s="52">
        <v>35.5</v>
      </c>
      <c r="G331" s="63">
        <v>2830</v>
      </c>
      <c r="H331" s="36" t="s">
        <v>656</v>
      </c>
      <c r="I331" s="36" t="s">
        <v>73</v>
      </c>
      <c r="J331" s="36" t="s">
        <v>836</v>
      </c>
      <c r="K331" s="46"/>
    </row>
    <row r="332" spans="1:11" x14ac:dyDescent="0.2">
      <c r="A332" s="6">
        <v>427</v>
      </c>
      <c r="B332" s="6" t="s">
        <v>119</v>
      </c>
      <c r="C332" s="6" t="s">
        <v>113</v>
      </c>
      <c r="D332" s="42" t="s">
        <v>883</v>
      </c>
      <c r="E332" s="38" t="s">
        <v>679</v>
      </c>
      <c r="F332" s="52">
        <v>18.5</v>
      </c>
      <c r="G332" s="63">
        <v>2830</v>
      </c>
      <c r="H332" s="36" t="s">
        <v>656</v>
      </c>
      <c r="I332" s="36" t="s">
        <v>95</v>
      </c>
      <c r="J332" s="36" t="s">
        <v>836</v>
      </c>
      <c r="K332" s="46"/>
    </row>
    <row r="333" spans="1:11" x14ac:dyDescent="0.2">
      <c r="A333" s="5">
        <v>428</v>
      </c>
      <c r="B333" s="6" t="s">
        <v>119</v>
      </c>
      <c r="C333" s="6" t="s">
        <v>113</v>
      </c>
      <c r="D333" s="42" t="s">
        <v>884</v>
      </c>
      <c r="E333" s="38" t="s">
        <v>679</v>
      </c>
      <c r="F333" s="52">
        <v>67.599999999999994</v>
      </c>
      <c r="G333" s="63">
        <v>2830</v>
      </c>
      <c r="H333" s="36" t="s">
        <v>656</v>
      </c>
      <c r="I333" s="36" t="s">
        <v>96</v>
      </c>
      <c r="J333" s="36" t="s">
        <v>836</v>
      </c>
      <c r="K333" s="46"/>
    </row>
    <row r="334" spans="1:11" x14ac:dyDescent="0.2">
      <c r="A334" s="5">
        <v>432</v>
      </c>
      <c r="B334" s="6" t="s">
        <v>119</v>
      </c>
      <c r="C334" s="6" t="s">
        <v>113</v>
      </c>
      <c r="D334" s="42" t="s">
        <v>885</v>
      </c>
      <c r="E334" s="38" t="s">
        <v>841</v>
      </c>
      <c r="F334" s="52">
        <v>8.15</v>
      </c>
      <c r="G334" s="63">
        <v>2400</v>
      </c>
      <c r="H334" s="36" t="s">
        <v>656</v>
      </c>
      <c r="I334" s="36" t="s">
        <v>89</v>
      </c>
      <c r="J334" s="36" t="s">
        <v>756</v>
      </c>
      <c r="K334" s="46"/>
    </row>
    <row r="335" spans="1:11" x14ac:dyDescent="0.2">
      <c r="A335" s="6">
        <v>433</v>
      </c>
      <c r="B335" s="6" t="s">
        <v>119</v>
      </c>
      <c r="C335" s="6" t="s">
        <v>113</v>
      </c>
      <c r="D335" s="42" t="s">
        <v>886</v>
      </c>
      <c r="E335" s="38" t="s">
        <v>887</v>
      </c>
      <c r="F335" s="52">
        <v>8.8000000000000007</v>
      </c>
      <c r="G335" s="63">
        <v>2400</v>
      </c>
      <c r="H335" s="36" t="s">
        <v>656</v>
      </c>
      <c r="I335" s="36" t="s">
        <v>36</v>
      </c>
      <c r="J335" s="36" t="s">
        <v>759</v>
      </c>
      <c r="K335" s="46"/>
    </row>
    <row r="336" spans="1:11" x14ac:dyDescent="0.2">
      <c r="A336" s="5">
        <v>434</v>
      </c>
      <c r="B336" s="6" t="s">
        <v>119</v>
      </c>
      <c r="C336" s="6" t="s">
        <v>113</v>
      </c>
      <c r="D336" s="42" t="s">
        <v>888</v>
      </c>
      <c r="E336" s="38" t="s">
        <v>845</v>
      </c>
      <c r="F336" s="52">
        <v>19.149999999999999</v>
      </c>
      <c r="G336" s="63">
        <v>2400</v>
      </c>
      <c r="H336" s="36" t="s">
        <v>656</v>
      </c>
      <c r="I336" s="36" t="s">
        <v>90</v>
      </c>
      <c r="J336" s="36" t="s">
        <v>756</v>
      </c>
      <c r="K336" s="46"/>
    </row>
    <row r="337" spans="1:11" x14ac:dyDescent="0.2">
      <c r="A337" s="5">
        <v>435</v>
      </c>
      <c r="B337" s="6" t="s">
        <v>119</v>
      </c>
      <c r="C337" s="6" t="s">
        <v>113</v>
      </c>
      <c r="D337" s="42" t="s">
        <v>889</v>
      </c>
      <c r="E337" s="38" t="s">
        <v>847</v>
      </c>
      <c r="F337" s="52">
        <v>74</v>
      </c>
      <c r="G337" s="63">
        <v>2830</v>
      </c>
      <c r="H337" s="36" t="s">
        <v>656</v>
      </c>
      <c r="I337" s="36" t="s">
        <v>9</v>
      </c>
      <c r="J337" s="36" t="s">
        <v>836</v>
      </c>
      <c r="K337" s="46"/>
    </row>
    <row r="338" spans="1:11" x14ac:dyDescent="0.2">
      <c r="A338" s="6">
        <v>436</v>
      </c>
      <c r="B338" s="6" t="s">
        <v>119</v>
      </c>
      <c r="C338" s="6" t="s">
        <v>113</v>
      </c>
      <c r="D338" s="64" t="s">
        <v>890</v>
      </c>
      <c r="E338" s="65" t="s">
        <v>891</v>
      </c>
      <c r="F338" s="103">
        <v>3.7</v>
      </c>
      <c r="G338" s="67">
        <v>2400</v>
      </c>
      <c r="H338" s="53" t="s">
        <v>656</v>
      </c>
      <c r="I338" s="53" t="s">
        <v>34</v>
      </c>
      <c r="J338" s="53" t="s">
        <v>756</v>
      </c>
      <c r="K338" s="68"/>
    </row>
    <row r="339" spans="1:11" x14ac:dyDescent="0.2">
      <c r="A339" s="5">
        <v>437</v>
      </c>
      <c r="B339" s="6" t="s">
        <v>119</v>
      </c>
      <c r="C339" s="6" t="s">
        <v>113</v>
      </c>
      <c r="D339" s="69" t="s">
        <v>892</v>
      </c>
      <c r="E339" s="31" t="s">
        <v>893</v>
      </c>
      <c r="F339" s="111">
        <v>18.45</v>
      </c>
      <c r="G339" s="112">
        <v>2400.2669999999998</v>
      </c>
      <c r="H339" s="34" t="s">
        <v>656</v>
      </c>
      <c r="I339" s="34" t="s">
        <v>106</v>
      </c>
      <c r="J339" s="34" t="s">
        <v>759</v>
      </c>
      <c r="K339" s="72"/>
    </row>
    <row r="340" spans="1:11" ht="30" x14ac:dyDescent="0.2">
      <c r="A340" s="5">
        <v>464</v>
      </c>
      <c r="B340" s="6" t="s">
        <v>119</v>
      </c>
      <c r="C340" s="6" t="s">
        <v>114</v>
      </c>
      <c r="D340" s="42" t="s">
        <v>894</v>
      </c>
      <c r="E340" s="38" t="s">
        <v>679</v>
      </c>
      <c r="F340" s="49">
        <v>71.8</v>
      </c>
      <c r="G340" s="63">
        <v>2830</v>
      </c>
      <c r="H340" s="36" t="s">
        <v>656</v>
      </c>
      <c r="I340" s="40" t="s">
        <v>86</v>
      </c>
      <c r="J340" s="36" t="s">
        <v>836</v>
      </c>
      <c r="K340" s="46"/>
    </row>
    <row r="341" spans="1:11" x14ac:dyDescent="0.2">
      <c r="A341" s="5">
        <v>465</v>
      </c>
      <c r="B341" s="6" t="s">
        <v>119</v>
      </c>
      <c r="C341" s="6" t="s">
        <v>114</v>
      </c>
      <c r="D341" s="42" t="s">
        <v>895</v>
      </c>
      <c r="E341" s="38" t="s">
        <v>679</v>
      </c>
      <c r="F341" s="49">
        <v>18.899999999999999</v>
      </c>
      <c r="G341" s="63">
        <v>2830</v>
      </c>
      <c r="H341" s="36" t="s">
        <v>656</v>
      </c>
      <c r="I341" s="36" t="s">
        <v>73</v>
      </c>
      <c r="J341" s="36" t="s">
        <v>836</v>
      </c>
      <c r="K341" s="46"/>
    </row>
    <row r="342" spans="1:11" x14ac:dyDescent="0.2">
      <c r="A342" s="5">
        <v>471</v>
      </c>
      <c r="B342" s="6" t="s">
        <v>119</v>
      </c>
      <c r="C342" s="6" t="s">
        <v>114</v>
      </c>
      <c r="D342" s="42" t="s">
        <v>896</v>
      </c>
      <c r="E342" s="38" t="s">
        <v>841</v>
      </c>
      <c r="F342" s="49">
        <v>8.1999999999999993</v>
      </c>
      <c r="G342" s="63">
        <v>2400</v>
      </c>
      <c r="H342" s="36" t="s">
        <v>656</v>
      </c>
      <c r="I342" s="36" t="s">
        <v>70</v>
      </c>
      <c r="J342" s="36" t="s">
        <v>763</v>
      </c>
      <c r="K342" s="46"/>
    </row>
    <row r="343" spans="1:11" x14ac:dyDescent="0.2">
      <c r="A343" s="6">
        <v>472</v>
      </c>
      <c r="B343" s="6" t="s">
        <v>119</v>
      </c>
      <c r="C343" s="6" t="s">
        <v>114</v>
      </c>
      <c r="D343" s="42" t="s">
        <v>897</v>
      </c>
      <c r="E343" s="38" t="s">
        <v>843</v>
      </c>
      <c r="F343" s="49">
        <v>7.75</v>
      </c>
      <c r="G343" s="63">
        <v>2400</v>
      </c>
      <c r="H343" s="36" t="s">
        <v>656</v>
      </c>
      <c r="I343" s="36" t="s">
        <v>34</v>
      </c>
      <c r="J343" s="36" t="s">
        <v>756</v>
      </c>
      <c r="K343" s="46"/>
    </row>
    <row r="344" spans="1:11" x14ac:dyDescent="0.2">
      <c r="A344" s="5">
        <v>473</v>
      </c>
      <c r="B344" s="6" t="s">
        <v>119</v>
      </c>
      <c r="C344" s="6" t="s">
        <v>114</v>
      </c>
      <c r="D344" s="42" t="s">
        <v>898</v>
      </c>
      <c r="E344" s="38" t="s">
        <v>845</v>
      </c>
      <c r="F344" s="49">
        <v>17.7</v>
      </c>
      <c r="G344" s="63">
        <v>2400</v>
      </c>
      <c r="H344" s="36" t="s">
        <v>656</v>
      </c>
      <c r="I344" s="36" t="s">
        <v>46</v>
      </c>
      <c r="J344" s="36" t="s">
        <v>763</v>
      </c>
      <c r="K344" s="46"/>
    </row>
    <row r="345" spans="1:11" x14ac:dyDescent="0.2">
      <c r="A345" s="5">
        <v>474</v>
      </c>
      <c r="B345" s="6" t="s">
        <v>119</v>
      </c>
      <c r="C345" s="6" t="s">
        <v>114</v>
      </c>
      <c r="D345" s="42" t="s">
        <v>899</v>
      </c>
      <c r="E345" s="38" t="s">
        <v>847</v>
      </c>
      <c r="F345" s="49">
        <v>71.45</v>
      </c>
      <c r="G345" s="63">
        <v>2830</v>
      </c>
      <c r="H345" s="36" t="s">
        <v>656</v>
      </c>
      <c r="I345" s="36" t="s">
        <v>9</v>
      </c>
      <c r="J345" s="36" t="s">
        <v>836</v>
      </c>
      <c r="K345" s="46"/>
    </row>
    <row r="346" spans="1:11" x14ac:dyDescent="0.2">
      <c r="A346" s="5">
        <v>476</v>
      </c>
      <c r="B346" s="6" t="s">
        <v>119</v>
      </c>
      <c r="C346" s="6" t="s">
        <v>114</v>
      </c>
      <c r="D346" s="42" t="s">
        <v>900</v>
      </c>
      <c r="E346" s="38" t="s">
        <v>891</v>
      </c>
      <c r="F346" s="49">
        <v>5.6</v>
      </c>
      <c r="G346" s="63">
        <v>2400</v>
      </c>
      <c r="H346" s="36" t="s">
        <v>656</v>
      </c>
      <c r="I346" s="36" t="s">
        <v>34</v>
      </c>
      <c r="J346" s="36" t="s">
        <v>756</v>
      </c>
      <c r="K346" s="46"/>
    </row>
    <row r="347" spans="1:11" x14ac:dyDescent="0.2">
      <c r="A347" s="5">
        <v>477</v>
      </c>
      <c r="B347" s="6" t="s">
        <v>119</v>
      </c>
      <c r="C347" s="6" t="s">
        <v>114</v>
      </c>
      <c r="D347" s="42" t="s">
        <v>901</v>
      </c>
      <c r="E347" s="38" t="s">
        <v>893</v>
      </c>
      <c r="F347" s="49">
        <v>15.35</v>
      </c>
      <c r="G347" s="36" t="s">
        <v>792</v>
      </c>
      <c r="H347" s="36" t="s">
        <v>656</v>
      </c>
      <c r="I347" s="36" t="s">
        <v>46</v>
      </c>
      <c r="J347" s="36" t="s">
        <v>763</v>
      </c>
      <c r="K347" s="46"/>
    </row>
    <row r="348" spans="1:11" ht="30" x14ac:dyDescent="0.2">
      <c r="A348" s="5">
        <v>504</v>
      </c>
      <c r="B348" s="6" t="s">
        <v>120</v>
      </c>
      <c r="C348" s="6" t="s">
        <v>112</v>
      </c>
      <c r="D348" s="42" t="s">
        <v>902</v>
      </c>
      <c r="E348" s="38" t="s">
        <v>679</v>
      </c>
      <c r="F348" s="49">
        <v>71.75</v>
      </c>
      <c r="G348" s="63">
        <v>2830</v>
      </c>
      <c r="H348" s="36" t="s">
        <v>656</v>
      </c>
      <c r="I348" s="40" t="s">
        <v>86</v>
      </c>
      <c r="J348" s="36" t="s">
        <v>836</v>
      </c>
      <c r="K348" s="101"/>
    </row>
    <row r="349" spans="1:11" x14ac:dyDescent="0.2">
      <c r="A349" s="6">
        <v>505</v>
      </c>
      <c r="B349" s="6" t="s">
        <v>120</v>
      </c>
      <c r="C349" s="6" t="s">
        <v>112</v>
      </c>
      <c r="D349" s="42" t="s">
        <v>903</v>
      </c>
      <c r="E349" s="38" t="s">
        <v>679</v>
      </c>
      <c r="F349" s="49">
        <v>18.850000000000001</v>
      </c>
      <c r="G349" s="63">
        <v>2830</v>
      </c>
      <c r="H349" s="36" t="s">
        <v>656</v>
      </c>
      <c r="I349" s="36" t="s">
        <v>73</v>
      </c>
      <c r="J349" s="36" t="s">
        <v>836</v>
      </c>
      <c r="K349" s="101"/>
    </row>
    <row r="350" spans="1:11" x14ac:dyDescent="0.2">
      <c r="A350" s="5">
        <v>506</v>
      </c>
      <c r="B350" s="6" t="s">
        <v>120</v>
      </c>
      <c r="C350" s="6" t="s">
        <v>112</v>
      </c>
      <c r="D350" s="42" t="s">
        <v>904</v>
      </c>
      <c r="E350" s="38" t="s">
        <v>679</v>
      </c>
      <c r="F350" s="49">
        <v>54.2</v>
      </c>
      <c r="G350" s="63">
        <v>2830</v>
      </c>
      <c r="H350" s="36" t="s">
        <v>656</v>
      </c>
      <c r="I350" s="36" t="s">
        <v>87</v>
      </c>
      <c r="J350" s="36" t="s">
        <v>836</v>
      </c>
      <c r="K350" s="101"/>
    </row>
    <row r="351" spans="1:11" x14ac:dyDescent="0.2">
      <c r="A351" s="5">
        <v>507</v>
      </c>
      <c r="B351" s="6" t="s">
        <v>120</v>
      </c>
      <c r="C351" s="6" t="s">
        <v>112</v>
      </c>
      <c r="D351" s="42" t="s">
        <v>905</v>
      </c>
      <c r="E351" s="38" t="s">
        <v>679</v>
      </c>
      <c r="F351" s="49">
        <v>38.299999999999997</v>
      </c>
      <c r="G351" s="63">
        <v>2830</v>
      </c>
      <c r="H351" s="36" t="s">
        <v>656</v>
      </c>
      <c r="I351" s="36" t="s">
        <v>88</v>
      </c>
      <c r="J351" s="36" t="s">
        <v>836</v>
      </c>
      <c r="K351" s="101"/>
    </row>
    <row r="352" spans="1:11" x14ac:dyDescent="0.2">
      <c r="A352" s="6">
        <v>511</v>
      </c>
      <c r="B352" s="6" t="s">
        <v>120</v>
      </c>
      <c r="C352" s="6" t="s">
        <v>112</v>
      </c>
      <c r="D352" s="42" t="s">
        <v>906</v>
      </c>
      <c r="E352" s="38" t="s">
        <v>855</v>
      </c>
      <c r="F352" s="49">
        <v>8.15</v>
      </c>
      <c r="G352" s="63">
        <v>2400</v>
      </c>
      <c r="H352" s="36" t="s">
        <v>656</v>
      </c>
      <c r="I352" s="36" t="s">
        <v>89</v>
      </c>
      <c r="J352" s="36" t="s">
        <v>756</v>
      </c>
      <c r="K352" s="101"/>
    </row>
    <row r="353" spans="1:11" x14ac:dyDescent="0.2">
      <c r="A353" s="5">
        <v>512</v>
      </c>
      <c r="B353" s="6" t="s">
        <v>120</v>
      </c>
      <c r="C353" s="6" t="s">
        <v>112</v>
      </c>
      <c r="D353" s="42" t="s">
        <v>907</v>
      </c>
      <c r="E353" s="38" t="s">
        <v>843</v>
      </c>
      <c r="F353" s="49">
        <v>8.15</v>
      </c>
      <c r="G353" s="63">
        <v>2400</v>
      </c>
      <c r="H353" s="36" t="s">
        <v>656</v>
      </c>
      <c r="I353" s="36" t="s">
        <v>36</v>
      </c>
      <c r="J353" s="36" t="s">
        <v>756</v>
      </c>
      <c r="K353" s="101"/>
    </row>
    <row r="354" spans="1:11" x14ac:dyDescent="0.2">
      <c r="A354" s="5">
        <v>513</v>
      </c>
      <c r="B354" s="6" t="s">
        <v>120</v>
      </c>
      <c r="C354" s="6" t="s">
        <v>112</v>
      </c>
      <c r="D354" s="42" t="s">
        <v>908</v>
      </c>
      <c r="E354" s="38" t="s">
        <v>845</v>
      </c>
      <c r="F354" s="49">
        <v>17.399999999999999</v>
      </c>
      <c r="G354" s="63">
        <v>2400</v>
      </c>
      <c r="H354" s="36" t="s">
        <v>656</v>
      </c>
      <c r="I354" s="36" t="s">
        <v>90</v>
      </c>
      <c r="J354" s="36" t="s">
        <v>763</v>
      </c>
      <c r="K354" s="101"/>
    </row>
    <row r="355" spans="1:11" x14ac:dyDescent="0.2">
      <c r="A355" s="6">
        <v>514</v>
      </c>
      <c r="B355" s="6" t="s">
        <v>120</v>
      </c>
      <c r="C355" s="6" t="s">
        <v>112</v>
      </c>
      <c r="D355" s="42" t="s">
        <v>909</v>
      </c>
      <c r="E355" s="38" t="s">
        <v>847</v>
      </c>
      <c r="F355" s="49">
        <v>71.400000000000006</v>
      </c>
      <c r="G355" s="63">
        <v>2830</v>
      </c>
      <c r="H355" s="36" t="s">
        <v>656</v>
      </c>
      <c r="I355" s="36" t="s">
        <v>9</v>
      </c>
      <c r="J355" s="36" t="s">
        <v>836</v>
      </c>
      <c r="K355" s="101"/>
    </row>
    <row r="356" spans="1:11" x14ac:dyDescent="0.2">
      <c r="A356" s="6">
        <v>520</v>
      </c>
      <c r="B356" s="6" t="s">
        <v>120</v>
      </c>
      <c r="C356" s="6" t="s">
        <v>112</v>
      </c>
      <c r="D356" s="42" t="s">
        <v>910</v>
      </c>
      <c r="E356" s="38" t="s">
        <v>911</v>
      </c>
      <c r="F356" s="49">
        <v>9.25</v>
      </c>
      <c r="G356" s="63">
        <v>2670</v>
      </c>
      <c r="H356" s="36" t="s">
        <v>656</v>
      </c>
      <c r="I356" s="36" t="s">
        <v>46</v>
      </c>
      <c r="J356" s="36" t="s">
        <v>763</v>
      </c>
      <c r="K356" s="101"/>
    </row>
    <row r="357" spans="1:11" x14ac:dyDescent="0.2">
      <c r="A357" s="5">
        <v>543</v>
      </c>
      <c r="B357" s="6" t="s">
        <v>120</v>
      </c>
      <c r="C357" s="6" t="s">
        <v>113</v>
      </c>
      <c r="D357" s="42" t="s">
        <v>912</v>
      </c>
      <c r="E357" s="38" t="s">
        <v>679</v>
      </c>
      <c r="F357" s="49">
        <v>50.2</v>
      </c>
      <c r="G357" s="63">
        <v>2830</v>
      </c>
      <c r="H357" s="36" t="s">
        <v>656</v>
      </c>
      <c r="I357" s="40" t="s">
        <v>81</v>
      </c>
      <c r="J357" s="36" t="s">
        <v>836</v>
      </c>
      <c r="K357" s="46"/>
    </row>
    <row r="358" spans="1:11" x14ac:dyDescent="0.2">
      <c r="A358" s="6">
        <v>544</v>
      </c>
      <c r="B358" s="6" t="s">
        <v>120</v>
      </c>
      <c r="C358" s="6" t="s">
        <v>113</v>
      </c>
      <c r="D358" s="42" t="s">
        <v>913</v>
      </c>
      <c r="E358" s="38" t="s">
        <v>679</v>
      </c>
      <c r="F358" s="49">
        <v>35.5</v>
      </c>
      <c r="G358" s="63">
        <v>2830</v>
      </c>
      <c r="H358" s="36" t="s">
        <v>656</v>
      </c>
      <c r="I358" s="36" t="s">
        <v>73</v>
      </c>
      <c r="J358" s="36" t="s">
        <v>836</v>
      </c>
      <c r="K358" s="46"/>
    </row>
    <row r="359" spans="1:11" x14ac:dyDescent="0.2">
      <c r="A359" s="5">
        <v>545</v>
      </c>
      <c r="B359" s="6" t="s">
        <v>120</v>
      </c>
      <c r="C359" s="6" t="s">
        <v>113</v>
      </c>
      <c r="D359" s="42" t="s">
        <v>914</v>
      </c>
      <c r="E359" s="38" t="s">
        <v>679</v>
      </c>
      <c r="F359" s="49">
        <v>18.5</v>
      </c>
      <c r="G359" s="63">
        <v>2830</v>
      </c>
      <c r="H359" s="36" t="s">
        <v>656</v>
      </c>
      <c r="I359" s="36" t="s">
        <v>95</v>
      </c>
      <c r="J359" s="36" t="s">
        <v>836</v>
      </c>
      <c r="K359" s="46"/>
    </row>
    <row r="360" spans="1:11" x14ac:dyDescent="0.2">
      <c r="A360" s="5">
        <v>546</v>
      </c>
      <c r="B360" s="6" t="s">
        <v>120</v>
      </c>
      <c r="C360" s="6" t="s">
        <v>113</v>
      </c>
      <c r="D360" s="42" t="s">
        <v>915</v>
      </c>
      <c r="E360" s="38" t="s">
        <v>679</v>
      </c>
      <c r="F360" s="49">
        <v>68</v>
      </c>
      <c r="G360" s="63">
        <v>2830</v>
      </c>
      <c r="H360" s="36" t="s">
        <v>656</v>
      </c>
      <c r="I360" s="36" t="s">
        <v>109</v>
      </c>
      <c r="J360" s="36" t="s">
        <v>836</v>
      </c>
      <c r="K360" s="46"/>
    </row>
    <row r="361" spans="1:11" x14ac:dyDescent="0.2">
      <c r="A361" s="6">
        <v>550</v>
      </c>
      <c r="B361" s="6" t="s">
        <v>120</v>
      </c>
      <c r="C361" s="6" t="s">
        <v>113</v>
      </c>
      <c r="D361" s="42" t="s">
        <v>916</v>
      </c>
      <c r="E361" s="38" t="s">
        <v>855</v>
      </c>
      <c r="F361" s="49">
        <v>8.15</v>
      </c>
      <c r="G361" s="63">
        <v>2400</v>
      </c>
      <c r="H361" s="36" t="s">
        <v>656</v>
      </c>
      <c r="I361" s="36" t="s">
        <v>89</v>
      </c>
      <c r="J361" s="36" t="s">
        <v>756</v>
      </c>
      <c r="K361" s="46"/>
    </row>
    <row r="362" spans="1:11" x14ac:dyDescent="0.2">
      <c r="A362" s="5">
        <v>551</v>
      </c>
      <c r="B362" s="6" t="s">
        <v>120</v>
      </c>
      <c r="C362" s="6" t="s">
        <v>113</v>
      </c>
      <c r="D362" s="42" t="s">
        <v>917</v>
      </c>
      <c r="E362" s="38" t="s">
        <v>843</v>
      </c>
      <c r="F362" s="49">
        <v>8.8000000000000007</v>
      </c>
      <c r="G362" s="63">
        <v>2400</v>
      </c>
      <c r="H362" s="36" t="s">
        <v>656</v>
      </c>
      <c r="I362" s="36" t="s">
        <v>36</v>
      </c>
      <c r="J362" s="36" t="s">
        <v>763</v>
      </c>
      <c r="K362" s="46"/>
    </row>
    <row r="363" spans="1:11" x14ac:dyDescent="0.2">
      <c r="A363" s="5">
        <v>552</v>
      </c>
      <c r="B363" s="6" t="s">
        <v>120</v>
      </c>
      <c r="C363" s="6" t="s">
        <v>113</v>
      </c>
      <c r="D363" s="42" t="s">
        <v>908</v>
      </c>
      <c r="E363" s="38" t="s">
        <v>845</v>
      </c>
      <c r="F363" s="49">
        <v>19.149999999999999</v>
      </c>
      <c r="G363" s="63">
        <v>2400</v>
      </c>
      <c r="H363" s="36" t="s">
        <v>656</v>
      </c>
      <c r="I363" s="36" t="s">
        <v>90</v>
      </c>
      <c r="J363" s="36" t="s">
        <v>756</v>
      </c>
      <c r="K363" s="46"/>
    </row>
    <row r="364" spans="1:11" x14ac:dyDescent="0.2">
      <c r="A364" s="6">
        <v>553</v>
      </c>
      <c r="B364" s="6" t="s">
        <v>120</v>
      </c>
      <c r="C364" s="6" t="s">
        <v>113</v>
      </c>
      <c r="D364" s="42" t="s">
        <v>918</v>
      </c>
      <c r="E364" s="38" t="s">
        <v>847</v>
      </c>
      <c r="F364" s="49">
        <v>74</v>
      </c>
      <c r="G364" s="63">
        <v>2830</v>
      </c>
      <c r="H364" s="36" t="s">
        <v>656</v>
      </c>
      <c r="I364" s="36" t="s">
        <v>9</v>
      </c>
      <c r="J364" s="36" t="s">
        <v>836</v>
      </c>
      <c r="K364" s="46"/>
    </row>
    <row r="365" spans="1:11" x14ac:dyDescent="0.2">
      <c r="A365" s="6">
        <v>559</v>
      </c>
      <c r="B365" s="6" t="s">
        <v>120</v>
      </c>
      <c r="C365" s="6" t="s">
        <v>113</v>
      </c>
      <c r="D365" s="42" t="s">
        <v>919</v>
      </c>
      <c r="E365" s="38" t="s">
        <v>849</v>
      </c>
      <c r="F365" s="49">
        <v>9.1999999999999993</v>
      </c>
      <c r="G365" s="63">
        <v>2670</v>
      </c>
      <c r="H365" s="36" t="s">
        <v>656</v>
      </c>
      <c r="I365" s="36" t="s">
        <v>46</v>
      </c>
      <c r="J365" s="36" t="s">
        <v>763</v>
      </c>
      <c r="K365" s="46"/>
    </row>
    <row r="366" spans="1:11" ht="30" x14ac:dyDescent="0.2">
      <c r="A366" s="5">
        <v>582</v>
      </c>
      <c r="B366" s="6" t="s">
        <v>120</v>
      </c>
      <c r="C366" s="6" t="s">
        <v>114</v>
      </c>
      <c r="D366" s="42" t="s">
        <v>920</v>
      </c>
      <c r="E366" s="38" t="s">
        <v>679</v>
      </c>
      <c r="F366" s="49">
        <v>71.8</v>
      </c>
      <c r="G366" s="63">
        <v>2830</v>
      </c>
      <c r="H366" s="36" t="s">
        <v>656</v>
      </c>
      <c r="I366" s="40" t="s">
        <v>86</v>
      </c>
      <c r="J366" s="36" t="s">
        <v>836</v>
      </c>
      <c r="K366" s="46"/>
    </row>
    <row r="367" spans="1:11" x14ac:dyDescent="0.2">
      <c r="A367" s="6">
        <v>583</v>
      </c>
      <c r="B367" s="6" t="s">
        <v>120</v>
      </c>
      <c r="C367" s="6" t="s">
        <v>114</v>
      </c>
      <c r="D367" s="42" t="s">
        <v>921</v>
      </c>
      <c r="E367" s="38" t="s">
        <v>679</v>
      </c>
      <c r="F367" s="49">
        <v>18.75</v>
      </c>
      <c r="G367" s="63">
        <v>2830</v>
      </c>
      <c r="H367" s="36" t="s">
        <v>656</v>
      </c>
      <c r="I367" s="36" t="s">
        <v>73</v>
      </c>
      <c r="J367" s="36" t="s">
        <v>836</v>
      </c>
      <c r="K367" s="46"/>
    </row>
    <row r="368" spans="1:11" x14ac:dyDescent="0.2">
      <c r="A368" s="5">
        <v>584</v>
      </c>
      <c r="B368" s="6" t="s">
        <v>120</v>
      </c>
      <c r="C368" s="6" t="s">
        <v>114</v>
      </c>
      <c r="D368" s="42" t="s">
        <v>922</v>
      </c>
      <c r="E368" s="38" t="s">
        <v>679</v>
      </c>
      <c r="F368" s="49">
        <v>53.55</v>
      </c>
      <c r="G368" s="63">
        <v>2830</v>
      </c>
      <c r="H368" s="36" t="s">
        <v>656</v>
      </c>
      <c r="I368" s="36" t="s">
        <v>109</v>
      </c>
      <c r="J368" s="36" t="s">
        <v>836</v>
      </c>
      <c r="K368" s="46"/>
    </row>
    <row r="369" spans="1:11" x14ac:dyDescent="0.2">
      <c r="A369" s="5">
        <v>585</v>
      </c>
      <c r="B369" s="6" t="s">
        <v>120</v>
      </c>
      <c r="C369" s="6" t="s">
        <v>114</v>
      </c>
      <c r="D369" s="42" t="s">
        <v>923</v>
      </c>
      <c r="E369" s="38" t="s">
        <v>679</v>
      </c>
      <c r="F369" s="49">
        <v>38.35</v>
      </c>
      <c r="G369" s="63">
        <v>2830</v>
      </c>
      <c r="H369" s="36" t="s">
        <v>656</v>
      </c>
      <c r="I369" s="36" t="s">
        <v>88</v>
      </c>
      <c r="J369" s="36" t="s">
        <v>836</v>
      </c>
      <c r="K369" s="46"/>
    </row>
    <row r="370" spans="1:11" x14ac:dyDescent="0.2">
      <c r="A370" s="6">
        <v>589</v>
      </c>
      <c r="B370" s="6" t="s">
        <v>120</v>
      </c>
      <c r="C370" s="6" t="s">
        <v>114</v>
      </c>
      <c r="D370" s="42" t="s">
        <v>924</v>
      </c>
      <c r="E370" s="38" t="s">
        <v>841</v>
      </c>
      <c r="F370" s="49">
        <v>8.1999999999999993</v>
      </c>
      <c r="G370" s="63">
        <v>2400</v>
      </c>
      <c r="H370" s="36" t="s">
        <v>656</v>
      </c>
      <c r="I370" s="36" t="s">
        <v>70</v>
      </c>
      <c r="J370" s="36" t="s">
        <v>763</v>
      </c>
      <c r="K370" s="46"/>
    </row>
    <row r="371" spans="1:11" x14ac:dyDescent="0.2">
      <c r="A371" s="5">
        <v>590</v>
      </c>
      <c r="B371" s="6" t="s">
        <v>120</v>
      </c>
      <c r="C371" s="6" t="s">
        <v>114</v>
      </c>
      <c r="D371" s="42" t="s">
        <v>925</v>
      </c>
      <c r="E371" s="38" t="s">
        <v>843</v>
      </c>
      <c r="F371" s="49">
        <v>7.75</v>
      </c>
      <c r="G371" s="63">
        <v>2400</v>
      </c>
      <c r="H371" s="36" t="s">
        <v>656</v>
      </c>
      <c r="I371" s="36" t="s">
        <v>34</v>
      </c>
      <c r="J371" s="36" t="s">
        <v>756</v>
      </c>
      <c r="K371" s="46"/>
    </row>
    <row r="372" spans="1:11" x14ac:dyDescent="0.2">
      <c r="A372" s="5">
        <v>591</v>
      </c>
      <c r="B372" s="6" t="s">
        <v>120</v>
      </c>
      <c r="C372" s="6" t="s">
        <v>114</v>
      </c>
      <c r="D372" s="64" t="s">
        <v>908</v>
      </c>
      <c r="E372" s="65" t="s">
        <v>845</v>
      </c>
      <c r="F372" s="66">
        <v>17.7</v>
      </c>
      <c r="G372" s="67">
        <v>2400</v>
      </c>
      <c r="H372" s="53" t="s">
        <v>656</v>
      </c>
      <c r="I372" s="53" t="s">
        <v>46</v>
      </c>
      <c r="J372" s="53" t="s">
        <v>763</v>
      </c>
      <c r="K372" s="68"/>
    </row>
    <row r="373" spans="1:11" x14ac:dyDescent="0.2">
      <c r="A373" s="6">
        <v>592</v>
      </c>
      <c r="B373" s="6" t="s">
        <v>120</v>
      </c>
      <c r="C373" s="6" t="s">
        <v>114</v>
      </c>
      <c r="D373" s="69" t="s">
        <v>926</v>
      </c>
      <c r="E373" s="31" t="s">
        <v>847</v>
      </c>
      <c r="F373" s="70">
        <v>71.45</v>
      </c>
      <c r="G373" s="71">
        <v>2830</v>
      </c>
      <c r="H373" s="34" t="s">
        <v>656</v>
      </c>
      <c r="I373" s="34" t="s">
        <v>9</v>
      </c>
      <c r="J373" s="34" t="s">
        <v>836</v>
      </c>
      <c r="K373" s="72"/>
    </row>
    <row r="374" spans="1:11" x14ac:dyDescent="0.2">
      <c r="A374" s="6">
        <v>598</v>
      </c>
      <c r="B374" s="6" t="s">
        <v>120</v>
      </c>
      <c r="C374" s="6" t="s">
        <v>114</v>
      </c>
      <c r="D374" s="42" t="s">
        <v>927</v>
      </c>
      <c r="E374" s="38" t="s">
        <v>849</v>
      </c>
      <c r="F374" s="49">
        <v>9</v>
      </c>
      <c r="G374" s="63">
        <v>2670</v>
      </c>
      <c r="H374" s="36" t="s">
        <v>656</v>
      </c>
      <c r="I374" s="36" t="s">
        <v>46</v>
      </c>
      <c r="J374" s="36" t="s">
        <v>756</v>
      </c>
      <c r="K374" s="46"/>
    </row>
    <row r="375" spans="1:11" x14ac:dyDescent="0.2">
      <c r="A375" s="83">
        <v>355</v>
      </c>
      <c r="B375" s="83" t="s">
        <v>118</v>
      </c>
      <c r="C375" s="83" t="s">
        <v>114</v>
      </c>
      <c r="D375" s="84" t="s">
        <v>232</v>
      </c>
      <c r="E375" s="85" t="s">
        <v>115</v>
      </c>
      <c r="F375" s="86">
        <v>7.7</v>
      </c>
      <c r="G375" s="104">
        <v>2830</v>
      </c>
      <c r="H375" s="45" t="s">
        <v>238</v>
      </c>
      <c r="I375" s="45" t="s">
        <v>73</v>
      </c>
      <c r="J375" s="45" t="s">
        <v>44</v>
      </c>
      <c r="K375" s="88"/>
    </row>
    <row r="376" spans="1:11" x14ac:dyDescent="0.2">
      <c r="A376" s="82">
        <v>356</v>
      </c>
      <c r="B376" s="83" t="s">
        <v>118</v>
      </c>
      <c r="C376" s="83" t="s">
        <v>114</v>
      </c>
      <c r="D376" s="84" t="s">
        <v>233</v>
      </c>
      <c r="E376" s="85" t="s">
        <v>115</v>
      </c>
      <c r="F376" s="86">
        <v>6</v>
      </c>
      <c r="G376" s="104">
        <v>2830</v>
      </c>
      <c r="H376" s="45" t="s">
        <v>238</v>
      </c>
      <c r="I376" s="45" t="s">
        <v>81</v>
      </c>
      <c r="J376" s="45" t="s">
        <v>44</v>
      </c>
      <c r="K376" s="88"/>
    </row>
    <row r="377" spans="1:11" x14ac:dyDescent="0.2">
      <c r="A377" s="82">
        <v>360</v>
      </c>
      <c r="B377" s="83" t="s">
        <v>118</v>
      </c>
      <c r="C377" s="83" t="s">
        <v>114</v>
      </c>
      <c r="D377" s="84" t="s">
        <v>234</v>
      </c>
      <c r="E377" s="85" t="s">
        <v>235</v>
      </c>
      <c r="F377" s="86">
        <v>2.2999999999999998</v>
      </c>
      <c r="G377" s="104">
        <v>2400</v>
      </c>
      <c r="H377" s="45" t="s">
        <v>238</v>
      </c>
      <c r="I377" s="45" t="s">
        <v>70</v>
      </c>
      <c r="J377" s="45" t="s">
        <v>26</v>
      </c>
      <c r="K377" s="88"/>
    </row>
    <row r="378" spans="1:11" x14ac:dyDescent="0.2">
      <c r="A378" s="83">
        <v>466</v>
      </c>
      <c r="B378" s="83" t="s">
        <v>119</v>
      </c>
      <c r="C378" s="83" t="s">
        <v>114</v>
      </c>
      <c r="D378" s="84" t="s">
        <v>236</v>
      </c>
      <c r="E378" s="85" t="s">
        <v>115</v>
      </c>
      <c r="F378" s="86">
        <f>15.95*2.4</f>
        <v>38.279999999999994</v>
      </c>
      <c r="G378" s="104">
        <v>2830</v>
      </c>
      <c r="H378" s="45" t="s">
        <v>238</v>
      </c>
      <c r="I378" s="45" t="s">
        <v>109</v>
      </c>
      <c r="J378" s="45" t="s">
        <v>44</v>
      </c>
      <c r="K378" s="88"/>
    </row>
    <row r="379" spans="1:11" x14ac:dyDescent="0.2">
      <c r="A379" s="83">
        <v>370</v>
      </c>
      <c r="B379" s="83" t="s">
        <v>118</v>
      </c>
      <c r="C379" s="83" t="s">
        <v>114</v>
      </c>
      <c r="D379" s="84" t="s">
        <v>151</v>
      </c>
      <c r="E379" s="85" t="s">
        <v>129</v>
      </c>
      <c r="F379" s="86">
        <f>41.7-6.24</f>
        <v>35.46</v>
      </c>
      <c r="G379" s="87">
        <v>2400.2669999999998</v>
      </c>
      <c r="H379" s="45" t="s">
        <v>226</v>
      </c>
      <c r="I379" s="45" t="s">
        <v>46</v>
      </c>
      <c r="J379" s="45" t="s">
        <v>130</v>
      </c>
      <c r="K379" s="88"/>
    </row>
    <row r="380" spans="1:11" x14ac:dyDescent="0.2">
      <c r="A380" s="82">
        <v>374</v>
      </c>
      <c r="B380" s="83" t="s">
        <v>118</v>
      </c>
      <c r="C380" s="83" t="s">
        <v>114</v>
      </c>
      <c r="D380" s="84" t="s">
        <v>156</v>
      </c>
      <c r="E380" s="85" t="s">
        <v>129</v>
      </c>
      <c r="F380" s="86">
        <f>41.7-14.5-6.24</f>
        <v>20.96</v>
      </c>
      <c r="G380" s="87">
        <v>2400.2669999999998</v>
      </c>
      <c r="H380" s="45" t="s">
        <v>226</v>
      </c>
      <c r="I380" s="45" t="s">
        <v>94</v>
      </c>
      <c r="J380" s="45" t="s">
        <v>130</v>
      </c>
      <c r="K380" s="88"/>
    </row>
    <row r="381" spans="1:11" x14ac:dyDescent="0.2">
      <c r="A381" s="82">
        <v>369</v>
      </c>
      <c r="B381" s="83" t="s">
        <v>118</v>
      </c>
      <c r="C381" s="83" t="s">
        <v>114</v>
      </c>
      <c r="D381" s="84" t="s">
        <v>149</v>
      </c>
      <c r="E381" s="85" t="s">
        <v>129</v>
      </c>
      <c r="F381" s="86">
        <f>41.7-6.24</f>
        <v>35.46</v>
      </c>
      <c r="G381" s="87">
        <v>2400.2669999999998</v>
      </c>
      <c r="H381" s="45" t="s">
        <v>226</v>
      </c>
      <c r="I381" s="45" t="s">
        <v>94</v>
      </c>
      <c r="J381" s="45" t="s">
        <v>130</v>
      </c>
      <c r="K381" s="88"/>
    </row>
    <row r="382" spans="1:11" x14ac:dyDescent="0.2">
      <c r="A382" s="82">
        <v>486</v>
      </c>
      <c r="B382" s="83" t="s">
        <v>119</v>
      </c>
      <c r="C382" s="83" t="s">
        <v>114</v>
      </c>
      <c r="D382" s="84" t="s">
        <v>174</v>
      </c>
      <c r="E382" s="85" t="s">
        <v>129</v>
      </c>
      <c r="F382" s="86">
        <f>41.7-6.24</f>
        <v>35.46</v>
      </c>
      <c r="G382" s="87">
        <v>2400.2669999999998</v>
      </c>
      <c r="H382" s="45" t="s">
        <v>226</v>
      </c>
      <c r="I382" s="45" t="s">
        <v>94</v>
      </c>
      <c r="J382" s="45" t="s">
        <v>130</v>
      </c>
      <c r="K382" s="88"/>
    </row>
    <row r="383" spans="1:11" x14ac:dyDescent="0.2">
      <c r="A383" s="83">
        <v>487</v>
      </c>
      <c r="B383" s="83" t="s">
        <v>119</v>
      </c>
      <c r="C383" s="83" t="s">
        <v>114</v>
      </c>
      <c r="D383" s="84" t="s">
        <v>175</v>
      </c>
      <c r="E383" s="85" t="s">
        <v>176</v>
      </c>
      <c r="F383" s="86">
        <f>41.7-6.24</f>
        <v>35.46</v>
      </c>
      <c r="G383" s="45" t="s">
        <v>132</v>
      </c>
      <c r="H383" s="45" t="s">
        <v>226</v>
      </c>
      <c r="I383" s="45" t="s">
        <v>46</v>
      </c>
      <c r="J383" s="45" t="s">
        <v>130</v>
      </c>
      <c r="K383" s="88"/>
    </row>
    <row r="384" spans="1:11" x14ac:dyDescent="0.2">
      <c r="A384" s="82">
        <v>488</v>
      </c>
      <c r="B384" s="83" t="s">
        <v>119</v>
      </c>
      <c r="C384" s="83" t="s">
        <v>114</v>
      </c>
      <c r="D384" s="84" t="s">
        <v>177</v>
      </c>
      <c r="E384" s="85" t="s">
        <v>129</v>
      </c>
      <c r="F384" s="86">
        <f>41.7-6.24</f>
        <v>35.46</v>
      </c>
      <c r="G384" s="45" t="s">
        <v>132</v>
      </c>
      <c r="H384" s="45" t="s">
        <v>226</v>
      </c>
      <c r="I384" s="45" t="s">
        <v>94</v>
      </c>
      <c r="J384" s="45" t="s">
        <v>130</v>
      </c>
      <c r="K384" s="88"/>
    </row>
    <row r="385" spans="1:11" x14ac:dyDescent="0.2">
      <c r="A385" s="83">
        <v>370</v>
      </c>
      <c r="B385" s="83" t="s">
        <v>118</v>
      </c>
      <c r="C385" s="83" t="s">
        <v>114</v>
      </c>
      <c r="D385" s="84" t="s">
        <v>151</v>
      </c>
      <c r="E385" s="85" t="s">
        <v>129</v>
      </c>
      <c r="F385" s="86">
        <f t="shared" ref="F385:F390" si="4">2.4*2.6</f>
        <v>6.24</v>
      </c>
      <c r="G385" s="87">
        <v>2400.2669999999998</v>
      </c>
      <c r="H385" s="45" t="s">
        <v>227</v>
      </c>
      <c r="I385" s="45" t="s">
        <v>46</v>
      </c>
      <c r="J385" s="45" t="s">
        <v>130</v>
      </c>
      <c r="K385" s="88"/>
    </row>
    <row r="386" spans="1:11" x14ac:dyDescent="0.2">
      <c r="A386" s="82">
        <v>374</v>
      </c>
      <c r="B386" s="83" t="s">
        <v>118</v>
      </c>
      <c r="C386" s="83" t="s">
        <v>114</v>
      </c>
      <c r="D386" s="84" t="s">
        <v>156</v>
      </c>
      <c r="E386" s="85" t="s">
        <v>129</v>
      </c>
      <c r="F386" s="86">
        <f t="shared" si="4"/>
        <v>6.24</v>
      </c>
      <c r="G386" s="87">
        <v>2400.2669999999998</v>
      </c>
      <c r="H386" s="45" t="s">
        <v>227</v>
      </c>
      <c r="I386" s="45" t="s">
        <v>94</v>
      </c>
      <c r="J386" s="45" t="s">
        <v>130</v>
      </c>
      <c r="K386" s="88"/>
    </row>
    <row r="387" spans="1:11" x14ac:dyDescent="0.2">
      <c r="A387" s="82">
        <v>369</v>
      </c>
      <c r="B387" s="83" t="s">
        <v>118</v>
      </c>
      <c r="C387" s="83" t="s">
        <v>114</v>
      </c>
      <c r="D387" s="84" t="s">
        <v>149</v>
      </c>
      <c r="E387" s="85" t="s">
        <v>129</v>
      </c>
      <c r="F387" s="86">
        <f t="shared" si="4"/>
        <v>6.24</v>
      </c>
      <c r="G387" s="87">
        <v>2400.2669999999998</v>
      </c>
      <c r="H387" s="45" t="s">
        <v>227</v>
      </c>
      <c r="I387" s="45" t="s">
        <v>94</v>
      </c>
      <c r="J387" s="45" t="s">
        <v>130</v>
      </c>
      <c r="K387" s="88"/>
    </row>
    <row r="388" spans="1:11" x14ac:dyDescent="0.2">
      <c r="A388" s="82">
        <v>486</v>
      </c>
      <c r="B388" s="83" t="s">
        <v>119</v>
      </c>
      <c r="C388" s="83" t="s">
        <v>114</v>
      </c>
      <c r="D388" s="84" t="s">
        <v>174</v>
      </c>
      <c r="E388" s="85" t="s">
        <v>129</v>
      </c>
      <c r="F388" s="86">
        <f t="shared" si="4"/>
        <v>6.24</v>
      </c>
      <c r="G388" s="87">
        <v>2400.2669999999998</v>
      </c>
      <c r="H388" s="45" t="s">
        <v>227</v>
      </c>
      <c r="I388" s="45" t="s">
        <v>94</v>
      </c>
      <c r="J388" s="45" t="s">
        <v>130</v>
      </c>
      <c r="K388" s="88"/>
    </row>
    <row r="389" spans="1:11" x14ac:dyDescent="0.2">
      <c r="A389" s="83">
        <v>487</v>
      </c>
      <c r="B389" s="83" t="s">
        <v>119</v>
      </c>
      <c r="C389" s="83" t="s">
        <v>114</v>
      </c>
      <c r="D389" s="84" t="s">
        <v>175</v>
      </c>
      <c r="E389" s="85" t="s">
        <v>176</v>
      </c>
      <c r="F389" s="86">
        <f t="shared" si="4"/>
        <v>6.24</v>
      </c>
      <c r="G389" s="45" t="s">
        <v>132</v>
      </c>
      <c r="H389" s="45" t="s">
        <v>227</v>
      </c>
      <c r="I389" s="45" t="s">
        <v>46</v>
      </c>
      <c r="J389" s="45" t="s">
        <v>130</v>
      </c>
      <c r="K389" s="88"/>
    </row>
    <row r="390" spans="1:11" x14ac:dyDescent="0.2">
      <c r="A390" s="82">
        <v>488</v>
      </c>
      <c r="B390" s="83" t="s">
        <v>119</v>
      </c>
      <c r="C390" s="83" t="s">
        <v>114</v>
      </c>
      <c r="D390" s="84" t="s">
        <v>177</v>
      </c>
      <c r="E390" s="85" t="s">
        <v>129</v>
      </c>
      <c r="F390" s="86">
        <f t="shared" si="4"/>
        <v>6.24</v>
      </c>
      <c r="G390" s="45" t="s">
        <v>132</v>
      </c>
      <c r="H390" s="45" t="s">
        <v>227</v>
      </c>
      <c r="I390" s="45" t="s">
        <v>94</v>
      </c>
      <c r="J390" s="45" t="s">
        <v>130</v>
      </c>
      <c r="K390" s="88"/>
    </row>
    <row r="391" spans="1:11" x14ac:dyDescent="0.2">
      <c r="A391" s="6">
        <v>478</v>
      </c>
      <c r="B391" s="6" t="s">
        <v>119</v>
      </c>
      <c r="C391" s="6" t="s">
        <v>114</v>
      </c>
      <c r="D391" s="42" t="s">
        <v>928</v>
      </c>
      <c r="E391" s="38" t="s">
        <v>929</v>
      </c>
      <c r="F391" s="49">
        <v>5.65</v>
      </c>
      <c r="G391" s="63">
        <v>2400</v>
      </c>
      <c r="H391" s="36" t="s">
        <v>930</v>
      </c>
      <c r="I391" s="36" t="s">
        <v>101</v>
      </c>
      <c r="J391" s="36" t="s">
        <v>756</v>
      </c>
      <c r="K391" s="46"/>
    </row>
    <row r="392" spans="1:11" x14ac:dyDescent="0.2">
      <c r="A392" s="5">
        <v>479</v>
      </c>
      <c r="B392" s="6" t="s">
        <v>119</v>
      </c>
      <c r="C392" s="6" t="s">
        <v>114</v>
      </c>
      <c r="D392" s="42" t="s">
        <v>931</v>
      </c>
      <c r="E392" s="38" t="s">
        <v>787</v>
      </c>
      <c r="F392" s="49">
        <v>8.65</v>
      </c>
      <c r="G392" s="63">
        <v>2670</v>
      </c>
      <c r="H392" s="36" t="s">
        <v>930</v>
      </c>
      <c r="I392" s="36" t="s">
        <v>101</v>
      </c>
      <c r="J392" s="36" t="s">
        <v>767</v>
      </c>
      <c r="K392" s="46"/>
    </row>
    <row r="393" spans="1:11" x14ac:dyDescent="0.2">
      <c r="A393" s="82">
        <v>359</v>
      </c>
      <c r="B393" s="83" t="s">
        <v>118</v>
      </c>
      <c r="C393" s="83" t="s">
        <v>114</v>
      </c>
      <c r="D393" s="84" t="s">
        <v>228</v>
      </c>
      <c r="E393" s="85" t="s">
        <v>229</v>
      </c>
      <c r="F393" s="86">
        <v>3.67</v>
      </c>
      <c r="G393" s="104">
        <v>2400</v>
      </c>
      <c r="H393" s="45" t="s">
        <v>230</v>
      </c>
      <c r="I393" s="45" t="s">
        <v>36</v>
      </c>
      <c r="J393" s="45" t="s">
        <v>26</v>
      </c>
      <c r="K393" s="88"/>
    </row>
    <row r="394" spans="1:11" x14ac:dyDescent="0.2">
      <c r="A394" s="6">
        <v>25</v>
      </c>
      <c r="B394" s="6" t="s">
        <v>111</v>
      </c>
      <c r="C394" s="6" t="s">
        <v>112</v>
      </c>
      <c r="D394" s="42" t="s">
        <v>932</v>
      </c>
      <c r="E394" s="38" t="s">
        <v>933</v>
      </c>
      <c r="F394" s="49">
        <v>25.25</v>
      </c>
      <c r="G394" s="63">
        <v>2300</v>
      </c>
      <c r="H394" s="36" t="s">
        <v>604</v>
      </c>
      <c r="I394" s="36" t="s">
        <v>6</v>
      </c>
      <c r="J394" s="36" t="s">
        <v>763</v>
      </c>
      <c r="K394" s="46"/>
    </row>
    <row r="395" spans="1:11" x14ac:dyDescent="0.2">
      <c r="A395" s="5">
        <v>26</v>
      </c>
      <c r="B395" s="6" t="s">
        <v>111</v>
      </c>
      <c r="C395" s="6" t="s">
        <v>112</v>
      </c>
      <c r="D395" s="42" t="s">
        <v>934</v>
      </c>
      <c r="E395" s="38" t="s">
        <v>935</v>
      </c>
      <c r="F395" s="49">
        <v>4.8</v>
      </c>
      <c r="G395" s="63">
        <v>2300</v>
      </c>
      <c r="H395" s="36" t="s">
        <v>604</v>
      </c>
      <c r="I395" s="36" t="s">
        <v>10</v>
      </c>
      <c r="J395" s="36" t="s">
        <v>767</v>
      </c>
      <c r="K395" s="46"/>
    </row>
    <row r="396" spans="1:11" x14ac:dyDescent="0.2">
      <c r="A396" s="5">
        <v>27</v>
      </c>
      <c r="B396" s="6" t="s">
        <v>111</v>
      </c>
      <c r="C396" s="6" t="s">
        <v>112</v>
      </c>
      <c r="D396" s="42" t="s">
        <v>936</v>
      </c>
      <c r="E396" s="38" t="s">
        <v>937</v>
      </c>
      <c r="F396" s="49">
        <v>1.8</v>
      </c>
      <c r="G396" s="63">
        <v>2300</v>
      </c>
      <c r="H396" s="36" t="s">
        <v>604</v>
      </c>
      <c r="I396" s="36" t="s">
        <v>10</v>
      </c>
      <c r="J396" s="36" t="s">
        <v>763</v>
      </c>
      <c r="K396" s="46"/>
    </row>
    <row r="397" spans="1:11" x14ac:dyDescent="0.2">
      <c r="A397" s="6">
        <v>28</v>
      </c>
      <c r="B397" s="6" t="s">
        <v>111</v>
      </c>
      <c r="C397" s="6" t="s">
        <v>112</v>
      </c>
      <c r="D397" s="42" t="s">
        <v>938</v>
      </c>
      <c r="E397" s="38" t="s">
        <v>939</v>
      </c>
      <c r="F397" s="49">
        <v>1.5</v>
      </c>
      <c r="G397" s="63">
        <v>2300</v>
      </c>
      <c r="H397" s="36" t="s">
        <v>604</v>
      </c>
      <c r="I397" s="36" t="s">
        <v>10</v>
      </c>
      <c r="J397" s="36" t="s">
        <v>756</v>
      </c>
      <c r="K397" s="46"/>
    </row>
    <row r="398" spans="1:11" x14ac:dyDescent="0.2">
      <c r="A398" s="5">
        <v>29</v>
      </c>
      <c r="B398" s="6" t="s">
        <v>111</v>
      </c>
      <c r="C398" s="6" t="s">
        <v>112</v>
      </c>
      <c r="D398" s="42" t="s">
        <v>940</v>
      </c>
      <c r="E398" s="38" t="s">
        <v>941</v>
      </c>
      <c r="F398" s="49">
        <v>22.65</v>
      </c>
      <c r="G398" s="63">
        <v>2300</v>
      </c>
      <c r="H398" s="36" t="s">
        <v>604</v>
      </c>
      <c r="I398" s="36" t="s">
        <v>11</v>
      </c>
      <c r="J398" s="36" t="s">
        <v>763</v>
      </c>
      <c r="K398" s="46"/>
    </row>
    <row r="399" spans="1:11" x14ac:dyDescent="0.2">
      <c r="A399" s="5">
        <v>30</v>
      </c>
      <c r="B399" s="6" t="s">
        <v>111</v>
      </c>
      <c r="C399" s="6" t="s">
        <v>112</v>
      </c>
      <c r="D399" s="42" t="s">
        <v>942</v>
      </c>
      <c r="E399" s="38" t="s">
        <v>943</v>
      </c>
      <c r="F399" s="49">
        <v>3.5</v>
      </c>
      <c r="G399" s="63">
        <v>2300</v>
      </c>
      <c r="H399" s="36" t="s">
        <v>604</v>
      </c>
      <c r="I399" s="36" t="s">
        <v>10</v>
      </c>
      <c r="J399" s="36" t="s">
        <v>767</v>
      </c>
      <c r="K399" s="46"/>
    </row>
    <row r="400" spans="1:11" x14ac:dyDescent="0.2">
      <c r="A400" s="6">
        <v>31</v>
      </c>
      <c r="B400" s="6" t="s">
        <v>111</v>
      </c>
      <c r="C400" s="6" t="s">
        <v>112</v>
      </c>
      <c r="D400" s="42" t="s">
        <v>944</v>
      </c>
      <c r="E400" s="38" t="s">
        <v>945</v>
      </c>
      <c r="F400" s="49">
        <v>3</v>
      </c>
      <c r="G400" s="63">
        <v>2300</v>
      </c>
      <c r="H400" s="36" t="s">
        <v>604</v>
      </c>
      <c r="I400" s="36" t="s">
        <v>10</v>
      </c>
      <c r="J400" s="36" t="s">
        <v>763</v>
      </c>
      <c r="K400" s="46"/>
    </row>
    <row r="401" spans="1:11" x14ac:dyDescent="0.2">
      <c r="A401" s="5">
        <v>32</v>
      </c>
      <c r="B401" s="6" t="s">
        <v>111</v>
      </c>
      <c r="C401" s="6" t="s">
        <v>112</v>
      </c>
      <c r="D401" s="42" t="s">
        <v>946</v>
      </c>
      <c r="E401" s="38" t="s">
        <v>947</v>
      </c>
      <c r="F401" s="49">
        <v>1.5</v>
      </c>
      <c r="G401" s="63">
        <v>2300</v>
      </c>
      <c r="H401" s="36" t="s">
        <v>604</v>
      </c>
      <c r="I401" s="36" t="s">
        <v>12</v>
      </c>
      <c r="J401" s="36" t="s">
        <v>756</v>
      </c>
      <c r="K401" s="46"/>
    </row>
    <row r="402" spans="1:11" x14ac:dyDescent="0.2">
      <c r="A402" s="5">
        <v>65</v>
      </c>
      <c r="B402" s="6" t="s">
        <v>111</v>
      </c>
      <c r="C402" s="6" t="s">
        <v>113</v>
      </c>
      <c r="D402" s="42" t="s">
        <v>948</v>
      </c>
      <c r="E402" s="38" t="s">
        <v>941</v>
      </c>
      <c r="F402" s="49">
        <v>21.2</v>
      </c>
      <c r="G402" s="63">
        <v>2400</v>
      </c>
      <c r="H402" s="36" t="s">
        <v>604</v>
      </c>
      <c r="I402" s="36" t="s">
        <v>21</v>
      </c>
      <c r="J402" s="36" t="s">
        <v>949</v>
      </c>
      <c r="K402" s="46"/>
    </row>
    <row r="403" spans="1:11" x14ac:dyDescent="0.2">
      <c r="A403" s="5">
        <v>66</v>
      </c>
      <c r="B403" s="6" t="s">
        <v>111</v>
      </c>
      <c r="C403" s="6" t="s">
        <v>113</v>
      </c>
      <c r="D403" s="42" t="s">
        <v>950</v>
      </c>
      <c r="E403" s="38" t="s">
        <v>943</v>
      </c>
      <c r="F403" s="49">
        <v>2.6</v>
      </c>
      <c r="G403" s="63">
        <v>2400</v>
      </c>
      <c r="H403" s="36" t="s">
        <v>604</v>
      </c>
      <c r="I403" s="36" t="s">
        <v>10</v>
      </c>
      <c r="J403" s="36" t="s">
        <v>767</v>
      </c>
      <c r="K403" s="46"/>
    </row>
    <row r="404" spans="1:11" x14ac:dyDescent="0.2">
      <c r="A404" s="6">
        <v>67</v>
      </c>
      <c r="B404" s="6" t="s">
        <v>111</v>
      </c>
      <c r="C404" s="6" t="s">
        <v>113</v>
      </c>
      <c r="D404" s="42" t="s">
        <v>951</v>
      </c>
      <c r="E404" s="38" t="s">
        <v>945</v>
      </c>
      <c r="F404" s="49">
        <v>2.95</v>
      </c>
      <c r="G404" s="61" t="s">
        <v>22</v>
      </c>
      <c r="H404" s="36" t="s">
        <v>604</v>
      </c>
      <c r="I404" s="36" t="s">
        <v>10</v>
      </c>
      <c r="J404" s="36" t="s">
        <v>756</v>
      </c>
      <c r="K404" s="46"/>
    </row>
    <row r="405" spans="1:11" x14ac:dyDescent="0.2">
      <c r="A405" s="5">
        <v>68</v>
      </c>
      <c r="B405" s="6" t="s">
        <v>111</v>
      </c>
      <c r="C405" s="6" t="s">
        <v>113</v>
      </c>
      <c r="D405" s="42" t="s">
        <v>952</v>
      </c>
      <c r="E405" s="38" t="s">
        <v>947</v>
      </c>
      <c r="F405" s="49">
        <v>1.5</v>
      </c>
      <c r="G405" s="63">
        <v>2400</v>
      </c>
      <c r="H405" s="36" t="s">
        <v>604</v>
      </c>
      <c r="I405" s="36" t="s">
        <v>12</v>
      </c>
      <c r="J405" s="36" t="s">
        <v>949</v>
      </c>
      <c r="K405" s="46"/>
    </row>
    <row r="406" spans="1:11" x14ac:dyDescent="0.2">
      <c r="A406" s="5">
        <v>69</v>
      </c>
      <c r="B406" s="6" t="s">
        <v>111</v>
      </c>
      <c r="C406" s="6" t="s">
        <v>113</v>
      </c>
      <c r="D406" s="42" t="s">
        <v>953</v>
      </c>
      <c r="E406" s="38" t="s">
        <v>933</v>
      </c>
      <c r="F406" s="49">
        <v>28.35</v>
      </c>
      <c r="G406" s="63">
        <v>2400</v>
      </c>
      <c r="H406" s="36" t="s">
        <v>604</v>
      </c>
      <c r="I406" s="36" t="s">
        <v>23</v>
      </c>
      <c r="J406" s="36" t="s">
        <v>756</v>
      </c>
      <c r="K406" s="46"/>
    </row>
    <row r="407" spans="1:11" x14ac:dyDescent="0.2">
      <c r="A407" s="6">
        <v>70</v>
      </c>
      <c r="B407" s="6" t="s">
        <v>111</v>
      </c>
      <c r="C407" s="6" t="s">
        <v>113</v>
      </c>
      <c r="D407" s="42" t="s">
        <v>954</v>
      </c>
      <c r="E407" s="38" t="s">
        <v>935</v>
      </c>
      <c r="F407" s="49">
        <v>3.4</v>
      </c>
      <c r="G407" s="63">
        <v>2400</v>
      </c>
      <c r="H407" s="36" t="s">
        <v>604</v>
      </c>
      <c r="I407" s="36" t="s">
        <v>10</v>
      </c>
      <c r="J407" s="36" t="s">
        <v>767</v>
      </c>
      <c r="K407" s="46"/>
    </row>
    <row r="408" spans="1:11" x14ac:dyDescent="0.2">
      <c r="A408" s="5">
        <v>71</v>
      </c>
      <c r="B408" s="6" t="s">
        <v>111</v>
      </c>
      <c r="C408" s="6" t="s">
        <v>113</v>
      </c>
      <c r="D408" s="42" t="s">
        <v>955</v>
      </c>
      <c r="E408" s="38" t="s">
        <v>937</v>
      </c>
      <c r="F408" s="49">
        <v>2</v>
      </c>
      <c r="G408" s="63">
        <v>2400</v>
      </c>
      <c r="H408" s="36" t="s">
        <v>604</v>
      </c>
      <c r="I408" s="36" t="s">
        <v>10</v>
      </c>
      <c r="J408" s="36" t="s">
        <v>756</v>
      </c>
      <c r="K408" s="46"/>
    </row>
    <row r="409" spans="1:11" x14ac:dyDescent="0.2">
      <c r="A409" s="5">
        <v>72</v>
      </c>
      <c r="B409" s="6" t="s">
        <v>111</v>
      </c>
      <c r="C409" s="6" t="s">
        <v>113</v>
      </c>
      <c r="D409" s="42" t="s">
        <v>956</v>
      </c>
      <c r="E409" s="38" t="s">
        <v>939</v>
      </c>
      <c r="F409" s="49">
        <v>1.8</v>
      </c>
      <c r="G409" s="63">
        <v>2400</v>
      </c>
      <c r="H409" s="36" t="s">
        <v>604</v>
      </c>
      <c r="I409" s="36" t="s">
        <v>12</v>
      </c>
      <c r="J409" s="36" t="s">
        <v>949</v>
      </c>
      <c r="K409" s="46"/>
    </row>
    <row r="410" spans="1:11" x14ac:dyDescent="0.2">
      <c r="A410" s="5">
        <v>90</v>
      </c>
      <c r="B410" s="6" t="s">
        <v>111</v>
      </c>
      <c r="C410" s="6" t="s">
        <v>114</v>
      </c>
      <c r="D410" s="42" t="s">
        <v>957</v>
      </c>
      <c r="E410" s="38" t="s">
        <v>941</v>
      </c>
      <c r="F410" s="49">
        <v>24.25</v>
      </c>
      <c r="G410" s="63" t="s">
        <v>22</v>
      </c>
      <c r="H410" s="36" t="s">
        <v>604</v>
      </c>
      <c r="I410" s="36" t="s">
        <v>6</v>
      </c>
      <c r="J410" s="36" t="s">
        <v>949</v>
      </c>
      <c r="K410" s="46"/>
    </row>
    <row r="411" spans="1:11" x14ac:dyDescent="0.2">
      <c r="A411" s="6">
        <v>91</v>
      </c>
      <c r="B411" s="6" t="s">
        <v>111</v>
      </c>
      <c r="C411" s="6" t="s">
        <v>114</v>
      </c>
      <c r="D411" s="42" t="s">
        <v>958</v>
      </c>
      <c r="E411" s="38" t="s">
        <v>943</v>
      </c>
      <c r="F411" s="49">
        <v>5.75</v>
      </c>
      <c r="G411" s="63">
        <v>2400</v>
      </c>
      <c r="H411" s="36" t="s">
        <v>604</v>
      </c>
      <c r="I411" s="36" t="s">
        <v>10</v>
      </c>
      <c r="J411" s="36" t="s">
        <v>767</v>
      </c>
      <c r="K411" s="46"/>
    </row>
    <row r="412" spans="1:11" x14ac:dyDescent="0.2">
      <c r="A412" s="5">
        <v>92</v>
      </c>
      <c r="B412" s="6" t="s">
        <v>111</v>
      </c>
      <c r="C412" s="6" t="s">
        <v>114</v>
      </c>
      <c r="D412" s="42" t="s">
        <v>959</v>
      </c>
      <c r="E412" s="38" t="s">
        <v>945</v>
      </c>
      <c r="F412" s="49">
        <v>1.8</v>
      </c>
      <c r="G412" s="63">
        <v>2300</v>
      </c>
      <c r="H412" s="36" t="s">
        <v>604</v>
      </c>
      <c r="I412" s="36" t="s">
        <v>10</v>
      </c>
      <c r="J412" s="36" t="s">
        <v>949</v>
      </c>
      <c r="K412" s="46"/>
    </row>
    <row r="413" spans="1:11" x14ac:dyDescent="0.2">
      <c r="A413" s="5">
        <v>93</v>
      </c>
      <c r="B413" s="6" t="s">
        <v>111</v>
      </c>
      <c r="C413" s="6" t="s">
        <v>114</v>
      </c>
      <c r="D413" s="42" t="s">
        <v>960</v>
      </c>
      <c r="E413" s="38" t="s">
        <v>947</v>
      </c>
      <c r="F413" s="49">
        <v>2.2000000000000002</v>
      </c>
      <c r="G413" s="63">
        <v>2300</v>
      </c>
      <c r="H413" s="36" t="s">
        <v>604</v>
      </c>
      <c r="I413" s="36" t="s">
        <v>12</v>
      </c>
      <c r="J413" s="36" t="s">
        <v>756</v>
      </c>
      <c r="K413" s="46"/>
    </row>
    <row r="414" spans="1:11" x14ac:dyDescent="0.2">
      <c r="A414" s="6">
        <v>94</v>
      </c>
      <c r="B414" s="6" t="s">
        <v>111</v>
      </c>
      <c r="C414" s="6" t="s">
        <v>114</v>
      </c>
      <c r="D414" s="64" t="s">
        <v>961</v>
      </c>
      <c r="E414" s="65" t="s">
        <v>933</v>
      </c>
      <c r="F414" s="66">
        <v>23.4</v>
      </c>
      <c r="G414" s="67">
        <v>2400</v>
      </c>
      <c r="H414" s="53" t="s">
        <v>604</v>
      </c>
      <c r="I414" s="53" t="s">
        <v>6</v>
      </c>
      <c r="J414" s="53" t="s">
        <v>962</v>
      </c>
      <c r="K414" s="68"/>
    </row>
    <row r="415" spans="1:11" x14ac:dyDescent="0.2">
      <c r="A415" s="5">
        <v>95</v>
      </c>
      <c r="B415" s="6" t="s">
        <v>111</v>
      </c>
      <c r="C415" s="6" t="s">
        <v>114</v>
      </c>
      <c r="D415" s="42" t="s">
        <v>963</v>
      </c>
      <c r="E415" s="38" t="s">
        <v>935</v>
      </c>
      <c r="F415" s="49">
        <v>5.4</v>
      </c>
      <c r="G415" s="63">
        <v>2400</v>
      </c>
      <c r="H415" s="36" t="s">
        <v>604</v>
      </c>
      <c r="I415" s="36" t="s">
        <v>10</v>
      </c>
      <c r="J415" s="36" t="s">
        <v>767</v>
      </c>
      <c r="K415" s="46"/>
    </row>
    <row r="416" spans="1:11" x14ac:dyDescent="0.2">
      <c r="A416" s="5">
        <v>96</v>
      </c>
      <c r="B416" s="6" t="s">
        <v>111</v>
      </c>
      <c r="C416" s="6" t="s">
        <v>114</v>
      </c>
      <c r="D416" s="42" t="s">
        <v>964</v>
      </c>
      <c r="E416" s="38" t="s">
        <v>937</v>
      </c>
      <c r="F416" s="49">
        <v>1.9</v>
      </c>
      <c r="G416" s="63">
        <v>2400</v>
      </c>
      <c r="H416" s="36" t="s">
        <v>604</v>
      </c>
      <c r="I416" s="36" t="s">
        <v>10</v>
      </c>
      <c r="J416" s="36" t="s">
        <v>949</v>
      </c>
      <c r="K416" s="46"/>
    </row>
    <row r="417" spans="1:11" x14ac:dyDescent="0.2">
      <c r="A417" s="6">
        <v>97</v>
      </c>
      <c r="B417" s="6" t="s">
        <v>111</v>
      </c>
      <c r="C417" s="6" t="s">
        <v>114</v>
      </c>
      <c r="D417" s="42" t="s">
        <v>965</v>
      </c>
      <c r="E417" s="38" t="s">
        <v>939</v>
      </c>
      <c r="F417" s="49">
        <v>1.5</v>
      </c>
      <c r="G417" s="63">
        <v>2400</v>
      </c>
      <c r="H417" s="36" t="s">
        <v>604</v>
      </c>
      <c r="I417" s="36" t="s">
        <v>12</v>
      </c>
      <c r="J417" s="36" t="s">
        <v>756</v>
      </c>
      <c r="K417" s="46"/>
    </row>
    <row r="418" spans="1:11" x14ac:dyDescent="0.2">
      <c r="A418" s="5">
        <v>98</v>
      </c>
      <c r="B418" s="6" t="s">
        <v>111</v>
      </c>
      <c r="C418" s="6" t="s">
        <v>114</v>
      </c>
      <c r="D418" s="42" t="s">
        <v>966</v>
      </c>
      <c r="E418" s="38" t="s">
        <v>967</v>
      </c>
      <c r="F418" s="49">
        <v>9.4499999999999993</v>
      </c>
      <c r="G418" s="63">
        <v>2400</v>
      </c>
      <c r="H418" s="36" t="s">
        <v>604</v>
      </c>
      <c r="I418" s="36" t="s">
        <v>27</v>
      </c>
      <c r="J418" s="36" t="s">
        <v>949</v>
      </c>
      <c r="K418" s="46"/>
    </row>
    <row r="419" spans="1:11" x14ac:dyDescent="0.2">
      <c r="A419" s="5">
        <v>99</v>
      </c>
      <c r="B419" s="6" t="s">
        <v>111</v>
      </c>
      <c r="C419" s="6" t="s">
        <v>114</v>
      </c>
      <c r="D419" s="42" t="s">
        <v>968</v>
      </c>
      <c r="E419" s="38" t="s">
        <v>969</v>
      </c>
      <c r="F419" s="49">
        <v>2.5</v>
      </c>
      <c r="G419" s="63">
        <v>2400</v>
      </c>
      <c r="H419" s="36" t="s">
        <v>604</v>
      </c>
      <c r="I419" s="36" t="s">
        <v>10</v>
      </c>
      <c r="J419" s="36" t="s">
        <v>767</v>
      </c>
      <c r="K419" s="46"/>
    </row>
    <row r="420" spans="1:11" x14ac:dyDescent="0.2">
      <c r="A420" s="6">
        <v>100</v>
      </c>
      <c r="B420" s="6" t="s">
        <v>111</v>
      </c>
      <c r="C420" s="6" t="s">
        <v>114</v>
      </c>
      <c r="D420" s="42" t="s">
        <v>970</v>
      </c>
      <c r="E420" s="38" t="s">
        <v>971</v>
      </c>
      <c r="F420" s="49">
        <v>5.0999999999999996</v>
      </c>
      <c r="G420" s="63">
        <v>2400</v>
      </c>
      <c r="H420" s="36" t="s">
        <v>604</v>
      </c>
      <c r="I420" s="36" t="s">
        <v>10</v>
      </c>
      <c r="J420" s="36" t="s">
        <v>949</v>
      </c>
      <c r="K420" s="46"/>
    </row>
    <row r="421" spans="1:11" x14ac:dyDescent="0.2">
      <c r="A421" s="83">
        <v>355</v>
      </c>
      <c r="B421" s="83" t="s">
        <v>118</v>
      </c>
      <c r="C421" s="83" t="s">
        <v>114</v>
      </c>
      <c r="D421" s="84" t="s">
        <v>232</v>
      </c>
      <c r="E421" s="85" t="s">
        <v>115</v>
      </c>
      <c r="F421" s="86">
        <f>18.75-7.7</f>
        <v>11.05</v>
      </c>
      <c r="G421" s="104">
        <v>2830</v>
      </c>
      <c r="H421" s="45" t="s">
        <v>237</v>
      </c>
      <c r="I421" s="45" t="s">
        <v>73</v>
      </c>
      <c r="J421" s="45" t="s">
        <v>44</v>
      </c>
      <c r="K421" s="88"/>
    </row>
    <row r="422" spans="1:11" x14ac:dyDescent="0.2">
      <c r="A422" s="82">
        <v>356</v>
      </c>
      <c r="B422" s="83" t="s">
        <v>118</v>
      </c>
      <c r="C422" s="83" t="s">
        <v>114</v>
      </c>
      <c r="D422" s="84" t="s">
        <v>233</v>
      </c>
      <c r="E422" s="85" t="s">
        <v>115</v>
      </c>
      <c r="F422" s="86">
        <f>38.15-6</f>
        <v>32.15</v>
      </c>
      <c r="G422" s="104">
        <v>2830</v>
      </c>
      <c r="H422" s="45" t="s">
        <v>237</v>
      </c>
      <c r="I422" s="45" t="s">
        <v>81</v>
      </c>
      <c r="J422" s="45" t="s">
        <v>44</v>
      </c>
      <c r="K422" s="88"/>
    </row>
    <row r="423" spans="1:11" x14ac:dyDescent="0.2">
      <c r="A423" s="82">
        <v>360</v>
      </c>
      <c r="B423" s="83" t="s">
        <v>118</v>
      </c>
      <c r="C423" s="83" t="s">
        <v>114</v>
      </c>
      <c r="D423" s="84" t="s">
        <v>234</v>
      </c>
      <c r="E423" s="85" t="s">
        <v>235</v>
      </c>
      <c r="F423" s="86">
        <f>8.2-2.3</f>
        <v>5.8999999999999995</v>
      </c>
      <c r="G423" s="104">
        <v>2400</v>
      </c>
      <c r="H423" s="45" t="s">
        <v>237</v>
      </c>
      <c r="I423" s="45" t="s">
        <v>70</v>
      </c>
      <c r="J423" s="45" t="s">
        <v>26</v>
      </c>
      <c r="K423" s="88"/>
    </row>
    <row r="424" spans="1:11" x14ac:dyDescent="0.2">
      <c r="A424" s="83">
        <v>466</v>
      </c>
      <c r="B424" s="83" t="s">
        <v>119</v>
      </c>
      <c r="C424" s="83" t="s">
        <v>114</v>
      </c>
      <c r="D424" s="84" t="s">
        <v>236</v>
      </c>
      <c r="E424" s="85" t="s">
        <v>115</v>
      </c>
      <c r="F424" s="86">
        <f>53.55-38.28</f>
        <v>15.269999999999996</v>
      </c>
      <c r="G424" s="104">
        <v>2830</v>
      </c>
      <c r="H424" s="45" t="s">
        <v>237</v>
      </c>
      <c r="I424" s="45" t="s">
        <v>109</v>
      </c>
      <c r="J424" s="45" t="s">
        <v>44</v>
      </c>
      <c r="K424" s="88"/>
    </row>
    <row r="425" spans="1:11" x14ac:dyDescent="0.2">
      <c r="A425" s="6">
        <v>361</v>
      </c>
      <c r="B425" s="6" t="s">
        <v>118</v>
      </c>
      <c r="C425" s="6" t="s">
        <v>114</v>
      </c>
      <c r="D425" s="42" t="s">
        <v>972</v>
      </c>
      <c r="E425" s="38" t="s">
        <v>871</v>
      </c>
      <c r="F425" s="39">
        <v>7.75</v>
      </c>
      <c r="G425" s="78">
        <v>2400</v>
      </c>
      <c r="H425" s="36" t="s">
        <v>973</v>
      </c>
      <c r="I425" s="36" t="s">
        <v>36</v>
      </c>
      <c r="J425" s="36" t="s">
        <v>738</v>
      </c>
      <c r="K425" s="46"/>
    </row>
    <row r="426" spans="1:11" x14ac:dyDescent="0.2">
      <c r="A426" s="5">
        <v>362</v>
      </c>
      <c r="B426" s="6" t="s">
        <v>118</v>
      </c>
      <c r="C426" s="6" t="s">
        <v>114</v>
      </c>
      <c r="D426" s="42" t="s">
        <v>974</v>
      </c>
      <c r="E426" s="38" t="s">
        <v>873</v>
      </c>
      <c r="F426" s="39">
        <v>17.75</v>
      </c>
      <c r="G426" s="78">
        <v>2400</v>
      </c>
      <c r="H426" s="36" t="s">
        <v>973</v>
      </c>
      <c r="I426" s="36" t="s">
        <v>90</v>
      </c>
      <c r="J426" s="36" t="s">
        <v>752</v>
      </c>
      <c r="K426" s="46"/>
    </row>
    <row r="427" spans="1:11" x14ac:dyDescent="0.2">
      <c r="A427" s="5">
        <v>363</v>
      </c>
      <c r="B427" s="6" t="s">
        <v>118</v>
      </c>
      <c r="C427" s="6" t="s">
        <v>114</v>
      </c>
      <c r="D427" s="42" t="s">
        <v>975</v>
      </c>
      <c r="E427" s="38" t="s">
        <v>875</v>
      </c>
      <c r="F427" s="39">
        <v>68.3</v>
      </c>
      <c r="G427" s="78">
        <v>2830</v>
      </c>
      <c r="H427" s="36" t="s">
        <v>973</v>
      </c>
      <c r="I427" s="36" t="s">
        <v>71</v>
      </c>
      <c r="J427" s="36" t="s">
        <v>863</v>
      </c>
      <c r="K427" s="46"/>
    </row>
    <row r="428" spans="1:11" x14ac:dyDescent="0.2">
      <c r="A428" s="5">
        <v>467</v>
      </c>
      <c r="B428" s="6" t="s">
        <v>119</v>
      </c>
      <c r="C428" s="6" t="s">
        <v>114</v>
      </c>
      <c r="D428" s="42" t="s">
        <v>976</v>
      </c>
      <c r="E428" s="38" t="s">
        <v>679</v>
      </c>
      <c r="F428" s="49">
        <v>38.35</v>
      </c>
      <c r="G428" s="63">
        <v>2830</v>
      </c>
      <c r="H428" s="36" t="s">
        <v>977</v>
      </c>
      <c r="I428" s="36" t="s">
        <v>88</v>
      </c>
      <c r="J428" s="36" t="s">
        <v>836</v>
      </c>
      <c r="K428" s="46"/>
    </row>
    <row r="429" spans="1:11" x14ac:dyDescent="0.2">
      <c r="A429" s="6">
        <v>7</v>
      </c>
      <c r="B429" s="6" t="s">
        <v>111</v>
      </c>
      <c r="C429" s="6" t="s">
        <v>112</v>
      </c>
      <c r="D429" s="42" t="s">
        <v>978</v>
      </c>
      <c r="E429" s="38" t="s">
        <v>660</v>
      </c>
      <c r="F429" s="49">
        <v>6.15</v>
      </c>
      <c r="G429" s="40" t="s">
        <v>9</v>
      </c>
      <c r="H429" s="36" t="s">
        <v>607</v>
      </c>
      <c r="I429" s="36" t="s">
        <v>1</v>
      </c>
      <c r="J429" s="40"/>
      <c r="K429" s="44"/>
    </row>
    <row r="430" spans="1:11" x14ac:dyDescent="0.2">
      <c r="A430" s="5">
        <v>8</v>
      </c>
      <c r="B430" s="6" t="s">
        <v>111</v>
      </c>
      <c r="C430" s="6" t="s">
        <v>112</v>
      </c>
      <c r="D430" s="42" t="s">
        <v>979</v>
      </c>
      <c r="E430" s="38" t="s">
        <v>644</v>
      </c>
      <c r="F430" s="49">
        <v>4.5</v>
      </c>
      <c r="G430" s="40" t="s">
        <v>9</v>
      </c>
      <c r="H430" s="36" t="s">
        <v>607</v>
      </c>
      <c r="I430" s="36" t="s">
        <v>1</v>
      </c>
      <c r="J430" s="40"/>
      <c r="K430" s="44"/>
    </row>
    <row r="431" spans="1:11" x14ac:dyDescent="0.2">
      <c r="A431" s="6">
        <v>34</v>
      </c>
      <c r="B431" s="6" t="s">
        <v>111</v>
      </c>
      <c r="C431" s="6" t="s">
        <v>112</v>
      </c>
      <c r="D431" s="42" t="s">
        <v>980</v>
      </c>
      <c r="E431" s="38" t="s">
        <v>981</v>
      </c>
      <c r="F431" s="49">
        <v>4.3</v>
      </c>
      <c r="G431" s="63">
        <v>3600</v>
      </c>
      <c r="H431" s="36" t="s">
        <v>607</v>
      </c>
      <c r="I431" s="40" t="s">
        <v>7</v>
      </c>
      <c r="J431" s="36" t="s">
        <v>677</v>
      </c>
      <c r="K431" s="46"/>
    </row>
    <row r="432" spans="1:11" x14ac:dyDescent="0.2">
      <c r="A432" s="5">
        <v>35</v>
      </c>
      <c r="B432" s="6" t="s">
        <v>111</v>
      </c>
      <c r="C432" s="6" t="s">
        <v>112</v>
      </c>
      <c r="D432" s="42" t="s">
        <v>982</v>
      </c>
      <c r="E432" s="38" t="s">
        <v>983</v>
      </c>
      <c r="F432" s="49">
        <v>8.9</v>
      </c>
      <c r="G432" s="63">
        <v>3600</v>
      </c>
      <c r="H432" s="36" t="s">
        <v>607</v>
      </c>
      <c r="I432" s="40" t="s">
        <v>7</v>
      </c>
      <c r="J432" s="36" t="s">
        <v>677</v>
      </c>
      <c r="K432" s="46"/>
    </row>
    <row r="433" spans="1:11" x14ac:dyDescent="0.2">
      <c r="A433" s="5">
        <v>38</v>
      </c>
      <c r="B433" s="6" t="s">
        <v>111</v>
      </c>
      <c r="C433" s="6" t="s">
        <v>112</v>
      </c>
      <c r="D433" s="42" t="s">
        <v>984</v>
      </c>
      <c r="E433" s="38" t="s">
        <v>985</v>
      </c>
      <c r="F433" s="49">
        <v>3.65</v>
      </c>
      <c r="G433" s="40" t="s">
        <v>9</v>
      </c>
      <c r="H433" s="36" t="s">
        <v>607</v>
      </c>
      <c r="I433" s="40" t="s">
        <v>1</v>
      </c>
      <c r="J433" s="40" t="s">
        <v>9</v>
      </c>
      <c r="K433" s="44"/>
    </row>
    <row r="434" spans="1:11" x14ac:dyDescent="0.2">
      <c r="A434" s="5">
        <v>51</v>
      </c>
      <c r="B434" s="6" t="s">
        <v>111</v>
      </c>
      <c r="C434" s="6" t="s">
        <v>113</v>
      </c>
      <c r="D434" s="42" t="s">
        <v>986</v>
      </c>
      <c r="E434" s="38" t="s">
        <v>660</v>
      </c>
      <c r="F434" s="49">
        <v>6.15</v>
      </c>
      <c r="G434" s="40" t="s">
        <v>9</v>
      </c>
      <c r="H434" s="36" t="s">
        <v>607</v>
      </c>
      <c r="I434" s="36" t="s">
        <v>1</v>
      </c>
      <c r="J434" s="40" t="s">
        <v>9</v>
      </c>
      <c r="K434" s="44"/>
    </row>
    <row r="435" spans="1:11" x14ac:dyDescent="0.2">
      <c r="A435" s="6">
        <v>52</v>
      </c>
      <c r="B435" s="6" t="s">
        <v>111</v>
      </c>
      <c r="C435" s="6" t="s">
        <v>113</v>
      </c>
      <c r="D435" s="42" t="s">
        <v>987</v>
      </c>
      <c r="E435" s="38" t="s">
        <v>644</v>
      </c>
      <c r="F435" s="49">
        <v>4.5</v>
      </c>
      <c r="G435" s="40" t="s">
        <v>9</v>
      </c>
      <c r="H435" s="36" t="s">
        <v>607</v>
      </c>
      <c r="I435" s="36" t="s">
        <v>1</v>
      </c>
      <c r="J435" s="40" t="s">
        <v>9</v>
      </c>
      <c r="K435" s="44"/>
    </row>
    <row r="436" spans="1:11" x14ac:dyDescent="0.2">
      <c r="A436" s="5">
        <v>63</v>
      </c>
      <c r="B436" s="6" t="s">
        <v>111</v>
      </c>
      <c r="C436" s="6" t="s">
        <v>113</v>
      </c>
      <c r="D436" s="42" t="s">
        <v>988</v>
      </c>
      <c r="E436" s="38" t="s">
        <v>989</v>
      </c>
      <c r="F436" s="49">
        <v>7.25</v>
      </c>
      <c r="G436" s="40" t="s">
        <v>9</v>
      </c>
      <c r="H436" s="36" t="s">
        <v>607</v>
      </c>
      <c r="I436" s="36" t="s">
        <v>1</v>
      </c>
      <c r="J436" s="40" t="s">
        <v>9</v>
      </c>
      <c r="K436" s="44"/>
    </row>
    <row r="437" spans="1:11" x14ac:dyDescent="0.2">
      <c r="A437" s="5">
        <v>81</v>
      </c>
      <c r="B437" s="6" t="s">
        <v>111</v>
      </c>
      <c r="C437" s="6" t="s">
        <v>114</v>
      </c>
      <c r="D437" s="42" t="s">
        <v>990</v>
      </c>
      <c r="E437" s="38" t="s">
        <v>660</v>
      </c>
      <c r="F437" s="49">
        <v>6.15</v>
      </c>
      <c r="G437" s="40" t="s">
        <v>9</v>
      </c>
      <c r="H437" s="36" t="s">
        <v>607</v>
      </c>
      <c r="I437" s="36" t="s">
        <v>1</v>
      </c>
      <c r="J437" s="40" t="s">
        <v>9</v>
      </c>
      <c r="K437" s="44"/>
    </row>
    <row r="438" spans="1:11" x14ac:dyDescent="0.2">
      <c r="A438" s="6">
        <v>82</v>
      </c>
      <c r="B438" s="6" t="s">
        <v>111</v>
      </c>
      <c r="C438" s="6" t="s">
        <v>114</v>
      </c>
      <c r="D438" s="42" t="s">
        <v>991</v>
      </c>
      <c r="E438" s="38" t="s">
        <v>644</v>
      </c>
      <c r="F438" s="49">
        <v>4.5</v>
      </c>
      <c r="G438" s="40" t="s">
        <v>9</v>
      </c>
      <c r="H438" s="36" t="s">
        <v>607</v>
      </c>
      <c r="I438" s="36" t="s">
        <v>1</v>
      </c>
      <c r="J438" s="62" t="s">
        <v>9</v>
      </c>
      <c r="K438" s="46"/>
    </row>
    <row r="439" spans="1:11" ht="30" x14ac:dyDescent="0.2">
      <c r="A439" s="6">
        <v>40</v>
      </c>
      <c r="B439" s="6" t="s">
        <v>111</v>
      </c>
      <c r="C439" s="6" t="s">
        <v>112</v>
      </c>
      <c r="D439" s="42" t="s">
        <v>992</v>
      </c>
      <c r="E439" s="38" t="s">
        <v>993</v>
      </c>
      <c r="F439" s="49">
        <v>15.2</v>
      </c>
      <c r="G439" s="40" t="s">
        <v>9</v>
      </c>
      <c r="H439" s="36" t="s">
        <v>608</v>
      </c>
      <c r="I439" s="36" t="s">
        <v>8</v>
      </c>
      <c r="J439" s="36" t="s">
        <v>994</v>
      </c>
      <c r="K439" s="46"/>
    </row>
    <row r="440" spans="1:11" ht="30" x14ac:dyDescent="0.2">
      <c r="A440" s="5">
        <v>41</v>
      </c>
      <c r="B440" s="6" t="s">
        <v>111</v>
      </c>
      <c r="C440" s="6" t="s">
        <v>112</v>
      </c>
      <c r="D440" s="64" t="s">
        <v>995</v>
      </c>
      <c r="E440" s="65" t="s">
        <v>996</v>
      </c>
      <c r="F440" s="66">
        <v>12.45</v>
      </c>
      <c r="G440" s="113" t="s">
        <v>9</v>
      </c>
      <c r="H440" s="53" t="s">
        <v>608</v>
      </c>
      <c r="I440" s="53" t="s">
        <v>8</v>
      </c>
      <c r="J440" s="53" t="s">
        <v>997</v>
      </c>
      <c r="K440" s="68"/>
    </row>
    <row r="441" spans="1:11" ht="30" x14ac:dyDescent="0.2">
      <c r="A441" s="5">
        <v>42</v>
      </c>
      <c r="B441" s="6" t="s">
        <v>111</v>
      </c>
      <c r="C441" s="6" t="s">
        <v>112</v>
      </c>
      <c r="D441" s="42" t="s">
        <v>998</v>
      </c>
      <c r="E441" s="38" t="s">
        <v>999</v>
      </c>
      <c r="F441" s="49">
        <v>8.3000000000000007</v>
      </c>
      <c r="G441" s="40" t="s">
        <v>9</v>
      </c>
      <c r="H441" s="36" t="s">
        <v>608</v>
      </c>
      <c r="I441" s="36" t="s">
        <v>8</v>
      </c>
      <c r="J441" s="36" t="s">
        <v>994</v>
      </c>
      <c r="K441" s="46"/>
    </row>
    <row r="442" spans="1:11" ht="30" x14ac:dyDescent="0.2">
      <c r="A442" s="5">
        <v>101</v>
      </c>
      <c r="B442" s="6" t="s">
        <v>111</v>
      </c>
      <c r="C442" s="6" t="s">
        <v>114</v>
      </c>
      <c r="D442" s="42" t="s">
        <v>1000</v>
      </c>
      <c r="E442" s="38" t="s">
        <v>1001</v>
      </c>
      <c r="F442" s="49">
        <v>5.0999999999999996</v>
      </c>
      <c r="G442" s="40" t="s">
        <v>9</v>
      </c>
      <c r="H442" s="36" t="s">
        <v>608</v>
      </c>
      <c r="I442" s="40" t="s">
        <v>8</v>
      </c>
      <c r="J442" s="36" t="s">
        <v>1002</v>
      </c>
      <c r="K442" s="46"/>
    </row>
    <row r="443" spans="1:11" x14ac:dyDescent="0.2">
      <c r="A443" s="6">
        <v>205</v>
      </c>
      <c r="B443" s="6" t="s">
        <v>116</v>
      </c>
      <c r="C443" s="6" t="s">
        <v>113</v>
      </c>
      <c r="D443" s="42" t="s">
        <v>1003</v>
      </c>
      <c r="E443" s="38" t="s">
        <v>1004</v>
      </c>
      <c r="F443" s="114">
        <v>10.1</v>
      </c>
      <c r="G443" s="115">
        <v>1410</v>
      </c>
      <c r="H443" s="36" t="s">
        <v>1005</v>
      </c>
      <c r="I443" s="36" t="s">
        <v>8</v>
      </c>
      <c r="J443" s="36" t="s">
        <v>1006</v>
      </c>
      <c r="K443" s="46"/>
    </row>
    <row r="444" spans="1:11" x14ac:dyDescent="0.2">
      <c r="A444" s="5">
        <v>33</v>
      </c>
      <c r="B444" s="6" t="s">
        <v>111</v>
      </c>
      <c r="C444" s="6" t="s">
        <v>112</v>
      </c>
      <c r="D444" s="42" t="s">
        <v>1007</v>
      </c>
      <c r="E444" s="38" t="s">
        <v>679</v>
      </c>
      <c r="F444" s="49">
        <v>34.65</v>
      </c>
      <c r="G444" s="61" t="s">
        <v>14</v>
      </c>
      <c r="H444" s="36" t="s">
        <v>609</v>
      </c>
      <c r="I444" s="36" t="s">
        <v>2</v>
      </c>
      <c r="J444" s="36" t="s">
        <v>677</v>
      </c>
      <c r="K444" s="46"/>
    </row>
    <row r="445" spans="1:11" x14ac:dyDescent="0.2">
      <c r="A445" s="5">
        <v>36</v>
      </c>
      <c r="B445" s="6" t="s">
        <v>111</v>
      </c>
      <c r="C445" s="6" t="s">
        <v>112</v>
      </c>
      <c r="D445" s="42" t="s">
        <v>1008</v>
      </c>
      <c r="E445" s="38" t="s">
        <v>1009</v>
      </c>
      <c r="F445" s="49">
        <v>18.2</v>
      </c>
      <c r="G445" s="63">
        <v>3600</v>
      </c>
      <c r="H445" s="36" t="s">
        <v>609</v>
      </c>
      <c r="I445" s="36" t="s">
        <v>2</v>
      </c>
      <c r="J445" s="36" t="s">
        <v>677</v>
      </c>
      <c r="K445" s="46"/>
    </row>
    <row r="446" spans="1:11" x14ac:dyDescent="0.2">
      <c r="A446" s="6">
        <v>37</v>
      </c>
      <c r="B446" s="6" t="s">
        <v>111</v>
      </c>
      <c r="C446" s="6" t="s">
        <v>112</v>
      </c>
      <c r="D446" s="42" t="s">
        <v>1010</v>
      </c>
      <c r="E446" s="38" t="s">
        <v>1011</v>
      </c>
      <c r="F446" s="49">
        <v>45.65</v>
      </c>
      <c r="G446" s="63">
        <v>2800</v>
      </c>
      <c r="H446" s="36" t="s">
        <v>609</v>
      </c>
      <c r="I446" s="36" t="s">
        <v>2</v>
      </c>
      <c r="J446" s="36" t="s">
        <v>677</v>
      </c>
      <c r="K446" s="46"/>
    </row>
    <row r="447" spans="1:11" ht="30" x14ac:dyDescent="0.2">
      <c r="A447" s="5">
        <v>39</v>
      </c>
      <c r="B447" s="6" t="s">
        <v>111</v>
      </c>
      <c r="C447" s="6" t="s">
        <v>112</v>
      </c>
      <c r="D447" s="42" t="s">
        <v>1012</v>
      </c>
      <c r="E447" s="38" t="s">
        <v>1013</v>
      </c>
      <c r="F447" s="49">
        <v>4.3</v>
      </c>
      <c r="G447" s="40" t="s">
        <v>9</v>
      </c>
      <c r="H447" s="36" t="s">
        <v>609</v>
      </c>
      <c r="I447" s="36" t="s">
        <v>2</v>
      </c>
      <c r="J447" s="36" t="s">
        <v>1014</v>
      </c>
      <c r="K447" s="46"/>
    </row>
    <row r="448" spans="1:11" x14ac:dyDescent="0.2">
      <c r="A448" s="6">
        <v>109</v>
      </c>
      <c r="B448" s="6" t="s">
        <v>116</v>
      </c>
      <c r="C448" s="6" t="s">
        <v>112</v>
      </c>
      <c r="D448" s="37" t="s">
        <v>1015</v>
      </c>
      <c r="E448" s="38" t="s">
        <v>1016</v>
      </c>
      <c r="F448" s="39">
        <v>57.35</v>
      </c>
      <c r="G448" s="80">
        <v>2610.3000000000002</v>
      </c>
      <c r="H448" s="36" t="s">
        <v>605</v>
      </c>
      <c r="I448" s="36" t="s">
        <v>28</v>
      </c>
      <c r="J448" s="36" t="s">
        <v>1017</v>
      </c>
      <c r="K448" s="79"/>
    </row>
    <row r="449" spans="1:11" ht="30" x14ac:dyDescent="0.2">
      <c r="A449" s="5">
        <v>114</v>
      </c>
      <c r="B449" s="6" t="s">
        <v>116</v>
      </c>
      <c r="C449" s="6" t="s">
        <v>112</v>
      </c>
      <c r="D449" s="37" t="s">
        <v>1018</v>
      </c>
      <c r="E449" s="38" t="s">
        <v>1019</v>
      </c>
      <c r="F449" s="39">
        <v>13.05</v>
      </c>
      <c r="G449" s="78">
        <v>2610</v>
      </c>
      <c r="H449" s="36" t="s">
        <v>605</v>
      </c>
      <c r="I449" s="36" t="s">
        <v>34</v>
      </c>
      <c r="J449" s="36"/>
      <c r="K449" s="79" t="s">
        <v>35</v>
      </c>
    </row>
    <row r="450" spans="1:11" ht="30" x14ac:dyDescent="0.2">
      <c r="A450" s="6">
        <v>115</v>
      </c>
      <c r="B450" s="6" t="s">
        <v>116</v>
      </c>
      <c r="C450" s="6" t="s">
        <v>112</v>
      </c>
      <c r="D450" s="37" t="s">
        <v>1020</v>
      </c>
      <c r="E450" s="38" t="s">
        <v>1019</v>
      </c>
      <c r="F450" s="39">
        <v>46.9</v>
      </c>
      <c r="G450" s="78">
        <v>3000</v>
      </c>
      <c r="H450" s="36" t="s">
        <v>605</v>
      </c>
      <c r="I450" s="36" t="s">
        <v>36</v>
      </c>
      <c r="J450" s="36" t="s">
        <v>1017</v>
      </c>
      <c r="K450" s="79" t="s">
        <v>33</v>
      </c>
    </row>
    <row r="451" spans="1:11" x14ac:dyDescent="0.2">
      <c r="A451" s="6">
        <v>148</v>
      </c>
      <c r="B451" s="6" t="s">
        <v>116</v>
      </c>
      <c r="C451" s="6" t="s">
        <v>113</v>
      </c>
      <c r="D451" s="42" t="s">
        <v>1021</v>
      </c>
      <c r="E451" s="38" t="s">
        <v>1022</v>
      </c>
      <c r="F451" s="43">
        <v>44.7</v>
      </c>
      <c r="G451" s="36" t="s">
        <v>1023</v>
      </c>
      <c r="H451" s="36" t="s">
        <v>1024</v>
      </c>
      <c r="I451" s="36" t="s">
        <v>48</v>
      </c>
      <c r="J451" s="36" t="s">
        <v>1025</v>
      </c>
      <c r="K451" s="46"/>
    </row>
    <row r="452" spans="1:11" x14ac:dyDescent="0.2">
      <c r="A452" s="5">
        <v>213</v>
      </c>
      <c r="B452" s="6" t="s">
        <v>116</v>
      </c>
      <c r="C452" s="6" t="s">
        <v>114</v>
      </c>
      <c r="D452" s="42" t="s">
        <v>1026</v>
      </c>
      <c r="E452" s="38" t="s">
        <v>1016</v>
      </c>
      <c r="F452" s="39">
        <v>43.5</v>
      </c>
      <c r="G452" s="36" t="s">
        <v>1027</v>
      </c>
      <c r="H452" s="36" t="s">
        <v>605</v>
      </c>
      <c r="I452" s="36" t="s">
        <v>28</v>
      </c>
      <c r="J452" s="36" t="s">
        <v>1017</v>
      </c>
      <c r="K452" s="46"/>
    </row>
    <row r="453" spans="1:11" x14ac:dyDescent="0.2">
      <c r="A453" s="5">
        <v>216</v>
      </c>
      <c r="B453" s="6" t="s">
        <v>116</v>
      </c>
      <c r="C453" s="6" t="s">
        <v>114</v>
      </c>
      <c r="D453" s="42" t="s">
        <v>1028</v>
      </c>
      <c r="E453" s="38" t="s">
        <v>861</v>
      </c>
      <c r="F453" s="39">
        <v>31.2</v>
      </c>
      <c r="G453" s="78">
        <v>2610</v>
      </c>
      <c r="H453" s="36" t="s">
        <v>1029</v>
      </c>
      <c r="I453" s="36" t="s">
        <v>31</v>
      </c>
      <c r="J453" s="48" t="s">
        <v>26</v>
      </c>
      <c r="K453" s="46"/>
    </row>
    <row r="454" spans="1:11" x14ac:dyDescent="0.2">
      <c r="A454" s="5">
        <v>273</v>
      </c>
      <c r="B454" s="6" t="s">
        <v>118</v>
      </c>
      <c r="C454" s="6" t="s">
        <v>112</v>
      </c>
      <c r="D454" s="42" t="s">
        <v>1030</v>
      </c>
      <c r="E454" s="38" t="s">
        <v>673</v>
      </c>
      <c r="F454" s="49">
        <v>42.6</v>
      </c>
      <c r="G454" s="63">
        <v>2610</v>
      </c>
      <c r="H454" s="36" t="s">
        <v>1031</v>
      </c>
      <c r="I454" s="36" t="s">
        <v>85</v>
      </c>
      <c r="J454" s="36" t="s">
        <v>1032</v>
      </c>
      <c r="K454" s="46"/>
    </row>
    <row r="455" spans="1:11" x14ac:dyDescent="0.2">
      <c r="A455" s="5">
        <v>312</v>
      </c>
      <c r="B455" s="6" t="s">
        <v>118</v>
      </c>
      <c r="C455" s="6" t="s">
        <v>113</v>
      </c>
      <c r="D455" s="42" t="s">
        <v>1033</v>
      </c>
      <c r="E455" s="38" t="s">
        <v>673</v>
      </c>
      <c r="F455" s="50">
        <v>42.5</v>
      </c>
      <c r="G455" s="63">
        <v>2610</v>
      </c>
      <c r="H455" s="36" t="s">
        <v>1031</v>
      </c>
      <c r="I455" s="36" t="s">
        <v>85</v>
      </c>
      <c r="J455" s="36" t="s">
        <v>1032</v>
      </c>
      <c r="K455" s="101"/>
    </row>
    <row r="456" spans="1:11" x14ac:dyDescent="0.2">
      <c r="A456" s="5">
        <v>351</v>
      </c>
      <c r="B456" s="6" t="s">
        <v>118</v>
      </c>
      <c r="C456" s="6" t="s">
        <v>114</v>
      </c>
      <c r="D456" s="42" t="s">
        <v>1034</v>
      </c>
      <c r="E456" s="38" t="s">
        <v>1016</v>
      </c>
      <c r="F456" s="39">
        <v>42.5</v>
      </c>
      <c r="G456" s="78">
        <v>2610</v>
      </c>
      <c r="H456" s="36" t="s">
        <v>1035</v>
      </c>
      <c r="I456" s="36" t="s">
        <v>85</v>
      </c>
      <c r="J456" s="36" t="s">
        <v>1017</v>
      </c>
      <c r="K456" s="46"/>
    </row>
    <row r="457" spans="1:11" x14ac:dyDescent="0.2">
      <c r="A457" s="6">
        <v>382</v>
      </c>
      <c r="B457" s="6" t="s">
        <v>119</v>
      </c>
      <c r="C457" s="6" t="s">
        <v>112</v>
      </c>
      <c r="D457" s="42" t="s">
        <v>1036</v>
      </c>
      <c r="E457" s="38" t="s">
        <v>1016</v>
      </c>
      <c r="F457" s="39">
        <v>42.6</v>
      </c>
      <c r="G457" s="78">
        <v>2610</v>
      </c>
      <c r="H457" s="36" t="s">
        <v>1035</v>
      </c>
      <c r="I457" s="36" t="s">
        <v>85</v>
      </c>
      <c r="J457" s="36" t="s">
        <v>1017</v>
      </c>
      <c r="K457" s="46"/>
    </row>
    <row r="458" spans="1:11" x14ac:dyDescent="0.2">
      <c r="A458" s="5">
        <v>422</v>
      </c>
      <c r="B458" s="6" t="s">
        <v>119</v>
      </c>
      <c r="C458" s="6" t="s">
        <v>113</v>
      </c>
      <c r="D458" s="42" t="s">
        <v>1037</v>
      </c>
      <c r="E458" s="38" t="s">
        <v>673</v>
      </c>
      <c r="F458" s="116">
        <v>42.5</v>
      </c>
      <c r="G458" s="63">
        <v>2610</v>
      </c>
      <c r="H458" s="36" t="s">
        <v>1031</v>
      </c>
      <c r="I458" s="36" t="s">
        <v>85</v>
      </c>
      <c r="J458" s="36" t="s">
        <v>1032</v>
      </c>
      <c r="K458" s="46"/>
    </row>
    <row r="459" spans="1:11" x14ac:dyDescent="0.2">
      <c r="A459" s="5">
        <v>461</v>
      </c>
      <c r="B459" s="6" t="s">
        <v>119</v>
      </c>
      <c r="C459" s="6" t="s">
        <v>114</v>
      </c>
      <c r="D459" s="42" t="s">
        <v>1038</v>
      </c>
      <c r="E459" s="38" t="s">
        <v>673</v>
      </c>
      <c r="F459" s="49">
        <v>42.5</v>
      </c>
      <c r="G459" s="63">
        <v>2610</v>
      </c>
      <c r="H459" s="36" t="s">
        <v>1031</v>
      </c>
      <c r="I459" s="36" t="s">
        <v>85</v>
      </c>
      <c r="J459" s="36" t="s">
        <v>1032</v>
      </c>
      <c r="K459" s="46"/>
    </row>
    <row r="460" spans="1:11" x14ac:dyDescent="0.2">
      <c r="A460" s="5">
        <v>501</v>
      </c>
      <c r="B460" s="6" t="s">
        <v>120</v>
      </c>
      <c r="C460" s="6" t="s">
        <v>112</v>
      </c>
      <c r="D460" s="42" t="s">
        <v>1039</v>
      </c>
      <c r="E460" s="38" t="s">
        <v>673</v>
      </c>
      <c r="F460" s="49">
        <v>42.65</v>
      </c>
      <c r="G460" s="63">
        <v>2610</v>
      </c>
      <c r="H460" s="36" t="s">
        <v>1031</v>
      </c>
      <c r="I460" s="36" t="s">
        <v>85</v>
      </c>
      <c r="J460" s="36" t="s">
        <v>1032</v>
      </c>
      <c r="K460" s="101"/>
    </row>
    <row r="461" spans="1:11" x14ac:dyDescent="0.2">
      <c r="A461" s="5">
        <v>540</v>
      </c>
      <c r="B461" s="6" t="s">
        <v>120</v>
      </c>
      <c r="C461" s="6" t="s">
        <v>113</v>
      </c>
      <c r="D461" s="42" t="s">
        <v>1040</v>
      </c>
      <c r="E461" s="38" t="s">
        <v>673</v>
      </c>
      <c r="F461" s="50">
        <v>42.5</v>
      </c>
      <c r="G461" s="63">
        <v>2610</v>
      </c>
      <c r="H461" s="36" t="s">
        <v>1031</v>
      </c>
      <c r="I461" s="36" t="s">
        <v>85</v>
      </c>
      <c r="J461" s="36" t="s">
        <v>1032</v>
      </c>
      <c r="K461" s="46"/>
    </row>
    <row r="462" spans="1:11" x14ac:dyDescent="0.2">
      <c r="A462" s="5">
        <v>579</v>
      </c>
      <c r="B462" s="6" t="s">
        <v>120</v>
      </c>
      <c r="C462" s="6" t="s">
        <v>114</v>
      </c>
      <c r="D462" s="42" t="s">
        <v>1041</v>
      </c>
      <c r="E462" s="38" t="s">
        <v>673</v>
      </c>
      <c r="F462" s="50">
        <v>42.5</v>
      </c>
      <c r="G462" s="63">
        <v>2610</v>
      </c>
      <c r="H462" s="36" t="s">
        <v>1042</v>
      </c>
      <c r="I462" s="36" t="s">
        <v>96</v>
      </c>
      <c r="J462" s="36" t="s">
        <v>1032</v>
      </c>
      <c r="K462" s="46"/>
    </row>
    <row r="463" spans="1:11" x14ac:dyDescent="0.2">
      <c r="A463" s="83">
        <v>265</v>
      </c>
      <c r="B463" s="83" t="s">
        <v>116</v>
      </c>
      <c r="C463" s="83" t="s">
        <v>117</v>
      </c>
      <c r="D463" s="84" t="s">
        <v>239</v>
      </c>
      <c r="E463" s="85" t="s">
        <v>115</v>
      </c>
      <c r="F463" s="86">
        <f>9.95*2</f>
        <v>19.899999999999999</v>
      </c>
      <c r="G463" s="104">
        <v>3000</v>
      </c>
      <c r="H463" s="45" t="s">
        <v>243</v>
      </c>
      <c r="I463" s="45" t="s">
        <v>73</v>
      </c>
      <c r="J463" s="45" t="s">
        <v>32</v>
      </c>
      <c r="K463" s="117"/>
    </row>
    <row r="464" spans="1:11" ht="30" x14ac:dyDescent="0.2">
      <c r="A464" s="82">
        <v>113</v>
      </c>
      <c r="B464" s="83" t="s">
        <v>116</v>
      </c>
      <c r="C464" s="83" t="s">
        <v>112</v>
      </c>
      <c r="D464" s="118" t="s">
        <v>240</v>
      </c>
      <c r="E464" s="85" t="s">
        <v>241</v>
      </c>
      <c r="F464" s="86">
        <f>154.35-94.6</f>
        <v>59.75</v>
      </c>
      <c r="G464" s="87">
        <v>2610.3000000000002</v>
      </c>
      <c r="H464" s="45" t="s">
        <v>243</v>
      </c>
      <c r="I464" s="45" t="s">
        <v>31</v>
      </c>
      <c r="J464" s="45" t="s">
        <v>32</v>
      </c>
      <c r="K464" s="117" t="s">
        <v>33</v>
      </c>
    </row>
    <row r="465" spans="1:11" x14ac:dyDescent="0.2">
      <c r="A465" s="5">
        <v>122</v>
      </c>
      <c r="B465" s="6" t="s">
        <v>116</v>
      </c>
      <c r="C465" s="6" t="s">
        <v>112</v>
      </c>
      <c r="D465" s="37" t="s">
        <v>1043</v>
      </c>
      <c r="E465" s="38" t="s">
        <v>1044</v>
      </c>
      <c r="F465" s="39">
        <v>20.100000000000001</v>
      </c>
      <c r="G465" s="78">
        <v>3000</v>
      </c>
      <c r="H465" s="36" t="s">
        <v>606</v>
      </c>
      <c r="I465" s="36" t="s">
        <v>40</v>
      </c>
      <c r="J465" s="36" t="s">
        <v>738</v>
      </c>
      <c r="K465" s="79"/>
    </row>
    <row r="466" spans="1:11" x14ac:dyDescent="0.2">
      <c r="A466" s="5">
        <v>123</v>
      </c>
      <c r="B466" s="6" t="s">
        <v>116</v>
      </c>
      <c r="C466" s="6" t="s">
        <v>112</v>
      </c>
      <c r="D466" s="37" t="s">
        <v>1045</v>
      </c>
      <c r="E466" s="38" t="s">
        <v>1046</v>
      </c>
      <c r="F466" s="39">
        <v>61.8</v>
      </c>
      <c r="G466" s="78">
        <v>3000</v>
      </c>
      <c r="H466" s="36" t="s">
        <v>606</v>
      </c>
      <c r="I466" s="36" t="s">
        <v>41</v>
      </c>
      <c r="J466" s="48" t="s">
        <v>32</v>
      </c>
      <c r="K466" s="79"/>
    </row>
    <row r="467" spans="1:11" ht="30" x14ac:dyDescent="0.2">
      <c r="A467" s="6">
        <v>124</v>
      </c>
      <c r="B467" s="6" t="s">
        <v>116</v>
      </c>
      <c r="C467" s="6" t="s">
        <v>112</v>
      </c>
      <c r="D467" s="37" t="s">
        <v>1047</v>
      </c>
      <c r="E467" s="38" t="s">
        <v>1048</v>
      </c>
      <c r="F467" s="39">
        <v>65.650000000000006</v>
      </c>
      <c r="G467" s="78">
        <v>3000</v>
      </c>
      <c r="H467" s="36" t="s">
        <v>606</v>
      </c>
      <c r="I467" s="36" t="s">
        <v>37</v>
      </c>
      <c r="J467" s="36" t="s">
        <v>738</v>
      </c>
      <c r="K467" s="79"/>
    </row>
    <row r="468" spans="1:11" x14ac:dyDescent="0.2">
      <c r="A468" s="5">
        <v>125</v>
      </c>
      <c r="B468" s="6" t="s">
        <v>116</v>
      </c>
      <c r="C468" s="6" t="s">
        <v>112</v>
      </c>
      <c r="D468" s="37" t="s">
        <v>1049</v>
      </c>
      <c r="E468" s="38" t="s">
        <v>1044</v>
      </c>
      <c r="F468" s="39">
        <v>21.8</v>
      </c>
      <c r="G468" s="78">
        <v>3000</v>
      </c>
      <c r="H468" s="36" t="s">
        <v>606</v>
      </c>
      <c r="I468" s="36" t="s">
        <v>39</v>
      </c>
      <c r="J468" s="36" t="s">
        <v>738</v>
      </c>
      <c r="K468" s="79"/>
    </row>
    <row r="469" spans="1:11" x14ac:dyDescent="0.2">
      <c r="A469" s="6">
        <v>217</v>
      </c>
      <c r="B469" s="6" t="s">
        <v>116</v>
      </c>
      <c r="C469" s="6" t="s">
        <v>114</v>
      </c>
      <c r="D469" s="42" t="s">
        <v>1050</v>
      </c>
      <c r="E469" s="38" t="s">
        <v>1051</v>
      </c>
      <c r="F469" s="39">
        <v>45.85</v>
      </c>
      <c r="G469" s="78">
        <v>3000</v>
      </c>
      <c r="H469" s="36" t="s">
        <v>606</v>
      </c>
      <c r="I469" s="36" t="s">
        <v>40</v>
      </c>
      <c r="J469" s="48" t="s">
        <v>32</v>
      </c>
      <c r="K469" s="46"/>
    </row>
    <row r="470" spans="1:11" ht="30" x14ac:dyDescent="0.2">
      <c r="A470" s="5">
        <v>252</v>
      </c>
      <c r="B470" s="6" t="s">
        <v>116</v>
      </c>
      <c r="C470" s="6" t="s">
        <v>117</v>
      </c>
      <c r="D470" s="42" t="s">
        <v>1052</v>
      </c>
      <c r="E470" s="76" t="s">
        <v>1053</v>
      </c>
      <c r="F470" s="39">
        <v>31.4</v>
      </c>
      <c r="G470" s="78">
        <v>3000</v>
      </c>
      <c r="H470" s="36" t="s">
        <v>606</v>
      </c>
      <c r="I470" s="36" t="s">
        <v>40</v>
      </c>
      <c r="J470" s="36" t="s">
        <v>778</v>
      </c>
      <c r="K470" s="79"/>
    </row>
    <row r="471" spans="1:11" ht="30" x14ac:dyDescent="0.2">
      <c r="A471" s="82">
        <v>159</v>
      </c>
      <c r="B471" s="83" t="s">
        <v>116</v>
      </c>
      <c r="C471" s="83" t="s">
        <v>113</v>
      </c>
      <c r="D471" s="84" t="s">
        <v>215</v>
      </c>
      <c r="E471" s="85" t="s">
        <v>216</v>
      </c>
      <c r="F471" s="86">
        <f>63.75-17.9</f>
        <v>45.85</v>
      </c>
      <c r="G471" s="45" t="s">
        <v>212</v>
      </c>
      <c r="H471" s="45" t="s">
        <v>244</v>
      </c>
      <c r="I471" s="45" t="s">
        <v>54</v>
      </c>
      <c r="J471" s="45" t="s">
        <v>55</v>
      </c>
      <c r="K471" s="88"/>
    </row>
    <row r="472" spans="1:11" ht="30" x14ac:dyDescent="0.2">
      <c r="A472" s="83">
        <v>160</v>
      </c>
      <c r="B472" s="83" t="s">
        <v>116</v>
      </c>
      <c r="C472" s="83" t="s">
        <v>113</v>
      </c>
      <c r="D472" s="84" t="s">
        <v>210</v>
      </c>
      <c r="E472" s="85" t="s">
        <v>211</v>
      </c>
      <c r="F472" s="86">
        <f>114.7-31.8</f>
        <v>82.9</v>
      </c>
      <c r="G472" s="45" t="s">
        <v>212</v>
      </c>
      <c r="H472" s="45" t="s">
        <v>244</v>
      </c>
      <c r="I472" s="45" t="s">
        <v>54</v>
      </c>
      <c r="J472" s="45" t="s">
        <v>214</v>
      </c>
      <c r="K472" s="88"/>
    </row>
    <row r="473" spans="1:11" ht="30" x14ac:dyDescent="0.2">
      <c r="A473" s="82">
        <v>159</v>
      </c>
      <c r="B473" s="83" t="s">
        <v>116</v>
      </c>
      <c r="C473" s="83" t="s">
        <v>113</v>
      </c>
      <c r="D473" s="84" t="s">
        <v>215</v>
      </c>
      <c r="E473" s="85" t="s">
        <v>216</v>
      </c>
      <c r="F473" s="86">
        <v>17.899999999999999</v>
      </c>
      <c r="G473" s="45" t="s">
        <v>212</v>
      </c>
      <c r="H473" s="45" t="s">
        <v>77</v>
      </c>
      <c r="I473" s="45" t="s">
        <v>54</v>
      </c>
      <c r="J473" s="45" t="s">
        <v>55</v>
      </c>
      <c r="K473" s="88"/>
    </row>
    <row r="474" spans="1:11" ht="30" x14ac:dyDescent="0.2">
      <c r="A474" s="83">
        <v>160</v>
      </c>
      <c r="B474" s="83" t="s">
        <v>116</v>
      </c>
      <c r="C474" s="83" t="s">
        <v>113</v>
      </c>
      <c r="D474" s="84" t="s">
        <v>210</v>
      </c>
      <c r="E474" s="85" t="s">
        <v>211</v>
      </c>
      <c r="F474" s="86">
        <v>31.8</v>
      </c>
      <c r="G474" s="45" t="s">
        <v>212</v>
      </c>
      <c r="H474" s="45" t="s">
        <v>77</v>
      </c>
      <c r="I474" s="45" t="s">
        <v>54</v>
      </c>
      <c r="J474" s="45" t="s">
        <v>214</v>
      </c>
      <c r="K474" s="88"/>
    </row>
    <row r="475" spans="1:11" x14ac:dyDescent="0.2">
      <c r="A475" s="5">
        <v>126</v>
      </c>
      <c r="B475" s="6" t="s">
        <v>116</v>
      </c>
      <c r="C475" s="6" t="s">
        <v>112</v>
      </c>
      <c r="D475" s="37" t="s">
        <v>1054</v>
      </c>
      <c r="E475" s="38" t="s">
        <v>1055</v>
      </c>
      <c r="F475" s="39">
        <v>8.6</v>
      </c>
      <c r="G475" s="78">
        <v>3000</v>
      </c>
      <c r="H475" s="36" t="s">
        <v>1056</v>
      </c>
      <c r="I475" s="36" t="s">
        <v>42</v>
      </c>
      <c r="J475" s="36" t="s">
        <v>738</v>
      </c>
      <c r="K475" s="79"/>
    </row>
    <row r="476" spans="1:11" x14ac:dyDescent="0.2">
      <c r="A476" s="6">
        <v>127</v>
      </c>
      <c r="B476" s="6" t="s">
        <v>116</v>
      </c>
      <c r="C476" s="6" t="s">
        <v>112</v>
      </c>
      <c r="D476" s="37" t="s">
        <v>1057</v>
      </c>
      <c r="E476" s="38" t="s">
        <v>1058</v>
      </c>
      <c r="F476" s="39">
        <v>12.05</v>
      </c>
      <c r="G476" s="78">
        <v>3000</v>
      </c>
      <c r="H476" s="36" t="s">
        <v>1056</v>
      </c>
      <c r="I476" s="36" t="s">
        <v>43</v>
      </c>
      <c r="J476" s="36" t="s">
        <v>778</v>
      </c>
      <c r="K476" s="79"/>
    </row>
    <row r="477" spans="1:11" x14ac:dyDescent="0.2">
      <c r="A477" s="5">
        <v>128</v>
      </c>
      <c r="B477" s="6" t="s">
        <v>116</v>
      </c>
      <c r="C477" s="6" t="s">
        <v>112</v>
      </c>
      <c r="D477" s="37" t="s">
        <v>1059</v>
      </c>
      <c r="E477" s="38" t="s">
        <v>1060</v>
      </c>
      <c r="F477" s="39">
        <v>45.35</v>
      </c>
      <c r="G477" s="78">
        <v>3000</v>
      </c>
      <c r="H477" s="36" t="s">
        <v>1056</v>
      </c>
      <c r="I477" s="36" t="s">
        <v>43</v>
      </c>
      <c r="J477" s="48" t="s">
        <v>44</v>
      </c>
      <c r="K477" s="79"/>
    </row>
    <row r="478" spans="1:11" x14ac:dyDescent="0.2">
      <c r="A478" s="5">
        <v>129</v>
      </c>
      <c r="B478" s="6" t="s">
        <v>116</v>
      </c>
      <c r="C478" s="6" t="s">
        <v>112</v>
      </c>
      <c r="D478" s="37" t="s">
        <v>1061</v>
      </c>
      <c r="E478" s="38" t="s">
        <v>1062</v>
      </c>
      <c r="F478" s="39">
        <v>2.8</v>
      </c>
      <c r="G478" s="78">
        <v>2400</v>
      </c>
      <c r="H478" s="36" t="s">
        <v>1056</v>
      </c>
      <c r="I478" s="36" t="s">
        <v>45</v>
      </c>
      <c r="J478" s="36" t="s">
        <v>738</v>
      </c>
      <c r="K478" s="79"/>
    </row>
    <row r="479" spans="1:11" x14ac:dyDescent="0.2">
      <c r="A479" s="6">
        <v>130</v>
      </c>
      <c r="B479" s="6" t="s">
        <v>116</v>
      </c>
      <c r="C479" s="6" t="s">
        <v>112</v>
      </c>
      <c r="D479" s="119" t="s">
        <v>1063</v>
      </c>
      <c r="E479" s="65" t="s">
        <v>1064</v>
      </c>
      <c r="F479" s="120">
        <v>1.9</v>
      </c>
      <c r="G479" s="121">
        <v>2400</v>
      </c>
      <c r="H479" s="36" t="s">
        <v>1056</v>
      </c>
      <c r="I479" s="53" t="s">
        <v>45</v>
      </c>
      <c r="J479" s="53" t="s">
        <v>738</v>
      </c>
      <c r="K479" s="122"/>
    </row>
    <row r="480" spans="1:11" x14ac:dyDescent="0.2">
      <c r="A480" s="5">
        <v>131</v>
      </c>
      <c r="B480" s="6" t="s">
        <v>116</v>
      </c>
      <c r="C480" s="6" t="s">
        <v>112</v>
      </c>
      <c r="D480" s="37" t="s">
        <v>1065</v>
      </c>
      <c r="E480" s="38" t="s">
        <v>811</v>
      </c>
      <c r="F480" s="39">
        <v>3.75</v>
      </c>
      <c r="G480" s="78">
        <v>2400</v>
      </c>
      <c r="H480" s="36" t="s">
        <v>1056</v>
      </c>
      <c r="I480" s="36" t="s">
        <v>46</v>
      </c>
      <c r="J480" s="36" t="s">
        <v>738</v>
      </c>
      <c r="K480" s="79"/>
    </row>
    <row r="481" spans="1:11" x14ac:dyDescent="0.2">
      <c r="A481" s="5">
        <v>132</v>
      </c>
      <c r="B481" s="6" t="s">
        <v>116</v>
      </c>
      <c r="C481" s="6" t="s">
        <v>112</v>
      </c>
      <c r="D481" s="37" t="s">
        <v>1066</v>
      </c>
      <c r="E481" s="38" t="s">
        <v>1067</v>
      </c>
      <c r="F481" s="39">
        <v>5.3</v>
      </c>
      <c r="G481" s="78">
        <v>2400</v>
      </c>
      <c r="H481" s="36" t="s">
        <v>1056</v>
      </c>
      <c r="I481" s="36" t="s">
        <v>45</v>
      </c>
      <c r="J481" s="36" t="s">
        <v>738</v>
      </c>
      <c r="K481" s="79"/>
    </row>
    <row r="482" spans="1:11" x14ac:dyDescent="0.2">
      <c r="A482" s="6">
        <v>133</v>
      </c>
      <c r="B482" s="6" t="s">
        <v>116</v>
      </c>
      <c r="C482" s="6" t="s">
        <v>112</v>
      </c>
      <c r="D482" s="37" t="s">
        <v>1068</v>
      </c>
      <c r="E482" s="38" t="s">
        <v>1069</v>
      </c>
      <c r="F482" s="39">
        <v>5.05</v>
      </c>
      <c r="G482" s="78">
        <v>2400</v>
      </c>
      <c r="H482" s="36" t="s">
        <v>1056</v>
      </c>
      <c r="I482" s="36" t="s">
        <v>46</v>
      </c>
      <c r="J482" s="36" t="s">
        <v>738</v>
      </c>
      <c r="K482" s="79"/>
    </row>
    <row r="483" spans="1:11" x14ac:dyDescent="0.2">
      <c r="A483" s="5">
        <v>134</v>
      </c>
      <c r="B483" s="6" t="s">
        <v>116</v>
      </c>
      <c r="C483" s="6" t="s">
        <v>112</v>
      </c>
      <c r="D483" s="37" t="s">
        <v>1070</v>
      </c>
      <c r="E483" s="38" t="s">
        <v>1071</v>
      </c>
      <c r="F483" s="39">
        <v>5.15</v>
      </c>
      <c r="G483" s="78">
        <v>2400</v>
      </c>
      <c r="H483" s="36" t="s">
        <v>1056</v>
      </c>
      <c r="I483" s="36" t="s">
        <v>45</v>
      </c>
      <c r="J483" s="36" t="s">
        <v>778</v>
      </c>
      <c r="K483" s="79"/>
    </row>
    <row r="484" spans="1:11" x14ac:dyDescent="0.2">
      <c r="A484" s="5">
        <v>135</v>
      </c>
      <c r="B484" s="6" t="s">
        <v>116</v>
      </c>
      <c r="C484" s="6" t="s">
        <v>112</v>
      </c>
      <c r="D484" s="37" t="s">
        <v>1072</v>
      </c>
      <c r="E484" s="38" t="s">
        <v>1073</v>
      </c>
      <c r="F484" s="39">
        <v>5.15</v>
      </c>
      <c r="G484" s="78">
        <v>2400</v>
      </c>
      <c r="H484" s="36" t="s">
        <v>1056</v>
      </c>
      <c r="I484" s="36" t="s">
        <v>45</v>
      </c>
      <c r="J484" s="36" t="s">
        <v>778</v>
      </c>
      <c r="K484" s="79"/>
    </row>
    <row r="485" spans="1:11" x14ac:dyDescent="0.2">
      <c r="A485" s="6">
        <v>136</v>
      </c>
      <c r="B485" s="6" t="s">
        <v>116</v>
      </c>
      <c r="C485" s="6" t="s">
        <v>112</v>
      </c>
      <c r="D485" s="37" t="s">
        <v>1074</v>
      </c>
      <c r="E485" s="38" t="s">
        <v>1075</v>
      </c>
      <c r="F485" s="39">
        <v>5.05</v>
      </c>
      <c r="G485" s="78">
        <v>2400</v>
      </c>
      <c r="H485" s="36" t="s">
        <v>1056</v>
      </c>
      <c r="I485" s="36" t="s">
        <v>46</v>
      </c>
      <c r="J485" s="36" t="s">
        <v>738</v>
      </c>
      <c r="K485" s="79"/>
    </row>
    <row r="486" spans="1:11" x14ac:dyDescent="0.2">
      <c r="A486" s="5">
        <v>137</v>
      </c>
      <c r="B486" s="6" t="s">
        <v>116</v>
      </c>
      <c r="C486" s="6" t="s">
        <v>112</v>
      </c>
      <c r="D486" s="37" t="s">
        <v>1076</v>
      </c>
      <c r="E486" s="38" t="s">
        <v>1062</v>
      </c>
      <c r="F486" s="39">
        <v>3</v>
      </c>
      <c r="G486" s="78">
        <v>2400</v>
      </c>
      <c r="H486" s="36" t="s">
        <v>1056</v>
      </c>
      <c r="I486" s="36" t="s">
        <v>45</v>
      </c>
      <c r="J486" s="36" t="s">
        <v>738</v>
      </c>
      <c r="K486" s="79"/>
    </row>
    <row r="487" spans="1:11" x14ac:dyDescent="0.2">
      <c r="A487" s="5">
        <v>138</v>
      </c>
      <c r="B487" s="6" t="s">
        <v>116</v>
      </c>
      <c r="C487" s="6" t="s">
        <v>112</v>
      </c>
      <c r="D487" s="37" t="s">
        <v>1077</v>
      </c>
      <c r="E487" s="38" t="s">
        <v>780</v>
      </c>
      <c r="F487" s="39">
        <v>1.5</v>
      </c>
      <c r="G487" s="78">
        <v>2400</v>
      </c>
      <c r="H487" s="36" t="s">
        <v>1056</v>
      </c>
      <c r="I487" s="36" t="s">
        <v>45</v>
      </c>
      <c r="J487" s="36" t="s">
        <v>738</v>
      </c>
      <c r="K487" s="79"/>
    </row>
    <row r="488" spans="1:11" x14ac:dyDescent="0.2">
      <c r="A488" s="5">
        <v>218</v>
      </c>
      <c r="B488" s="6" t="s">
        <v>116</v>
      </c>
      <c r="C488" s="6" t="s">
        <v>114</v>
      </c>
      <c r="D488" s="42" t="s">
        <v>1078</v>
      </c>
      <c r="E488" s="38" t="s">
        <v>1079</v>
      </c>
      <c r="F488" s="39">
        <v>10.9</v>
      </c>
      <c r="G488" s="78">
        <v>2400</v>
      </c>
      <c r="H488" s="36" t="s">
        <v>1056</v>
      </c>
      <c r="I488" s="36" t="s">
        <v>40</v>
      </c>
      <c r="J488" s="36" t="s">
        <v>738</v>
      </c>
      <c r="K488" s="46"/>
    </row>
    <row r="489" spans="1:11" x14ac:dyDescent="0.2">
      <c r="A489" s="5">
        <v>219</v>
      </c>
      <c r="B489" s="6" t="s">
        <v>116</v>
      </c>
      <c r="C489" s="6" t="s">
        <v>114</v>
      </c>
      <c r="D489" s="42" t="s">
        <v>1080</v>
      </c>
      <c r="E489" s="38" t="s">
        <v>1081</v>
      </c>
      <c r="F489" s="39">
        <v>2.95</v>
      </c>
      <c r="G489" s="78">
        <v>2400</v>
      </c>
      <c r="H489" s="36" t="s">
        <v>1056</v>
      </c>
      <c r="I489" s="40" t="s">
        <v>45</v>
      </c>
      <c r="J489" s="36" t="s">
        <v>738</v>
      </c>
      <c r="K489" s="46"/>
    </row>
    <row r="490" spans="1:11" x14ac:dyDescent="0.2">
      <c r="A490" s="6">
        <v>220</v>
      </c>
      <c r="B490" s="6" t="s">
        <v>116</v>
      </c>
      <c r="C490" s="6" t="s">
        <v>114</v>
      </c>
      <c r="D490" s="42" t="s">
        <v>1082</v>
      </c>
      <c r="E490" s="38" t="s">
        <v>1083</v>
      </c>
      <c r="F490" s="39">
        <v>2.95</v>
      </c>
      <c r="G490" s="78">
        <v>2400</v>
      </c>
      <c r="H490" s="36" t="s">
        <v>1056</v>
      </c>
      <c r="I490" s="40" t="s">
        <v>45</v>
      </c>
      <c r="J490" s="36" t="s">
        <v>738</v>
      </c>
      <c r="K490" s="46"/>
    </row>
    <row r="491" spans="1:11" x14ac:dyDescent="0.2">
      <c r="A491" s="6">
        <v>244</v>
      </c>
      <c r="B491" s="6" t="s">
        <v>116</v>
      </c>
      <c r="C491" s="6" t="s">
        <v>117</v>
      </c>
      <c r="D491" s="42" t="s">
        <v>1084</v>
      </c>
      <c r="E491" s="38" t="s">
        <v>1085</v>
      </c>
      <c r="F491" s="39">
        <v>5.15</v>
      </c>
      <c r="G491" s="78">
        <v>3000</v>
      </c>
      <c r="H491" s="48" t="s">
        <v>77</v>
      </c>
      <c r="I491" s="40" t="s">
        <v>34</v>
      </c>
      <c r="J491" s="36" t="s">
        <v>738</v>
      </c>
      <c r="K491" s="79"/>
    </row>
    <row r="492" spans="1:11" x14ac:dyDescent="0.2">
      <c r="A492" s="5">
        <v>245</v>
      </c>
      <c r="B492" s="6" t="s">
        <v>116</v>
      </c>
      <c r="C492" s="6" t="s">
        <v>117</v>
      </c>
      <c r="D492" s="42" t="s">
        <v>1086</v>
      </c>
      <c r="E492" s="38" t="s">
        <v>1087</v>
      </c>
      <c r="F492" s="39">
        <v>5.75</v>
      </c>
      <c r="G492" s="78">
        <v>3000</v>
      </c>
      <c r="H492" s="48" t="s">
        <v>77</v>
      </c>
      <c r="I492" s="40" t="s">
        <v>78</v>
      </c>
      <c r="J492" s="36" t="s">
        <v>738</v>
      </c>
      <c r="K492" s="79"/>
    </row>
    <row r="493" spans="1:11" x14ac:dyDescent="0.2">
      <c r="A493" s="5">
        <v>246</v>
      </c>
      <c r="B493" s="6" t="s">
        <v>116</v>
      </c>
      <c r="C493" s="6" t="s">
        <v>117</v>
      </c>
      <c r="D493" s="42" t="s">
        <v>1088</v>
      </c>
      <c r="E493" s="38" t="s">
        <v>1081</v>
      </c>
      <c r="F493" s="39">
        <v>1.6</v>
      </c>
      <c r="G493" s="78">
        <v>2400</v>
      </c>
      <c r="H493" s="48" t="s">
        <v>77</v>
      </c>
      <c r="I493" s="40" t="s">
        <v>79</v>
      </c>
      <c r="J493" s="36" t="s">
        <v>738</v>
      </c>
      <c r="K493" s="79"/>
    </row>
    <row r="494" spans="1:11" x14ac:dyDescent="0.2">
      <c r="A494" s="6">
        <v>247</v>
      </c>
      <c r="B494" s="6" t="s">
        <v>116</v>
      </c>
      <c r="C494" s="6" t="s">
        <v>117</v>
      </c>
      <c r="D494" s="42" t="s">
        <v>1089</v>
      </c>
      <c r="E494" s="38" t="s">
        <v>1081</v>
      </c>
      <c r="F494" s="39">
        <v>1.6</v>
      </c>
      <c r="G494" s="78">
        <v>2400</v>
      </c>
      <c r="H494" s="48" t="s">
        <v>77</v>
      </c>
      <c r="I494" s="40" t="s">
        <v>45</v>
      </c>
      <c r="J494" s="36" t="s">
        <v>738</v>
      </c>
      <c r="K494" s="79"/>
    </row>
    <row r="495" spans="1:11" x14ac:dyDescent="0.2">
      <c r="A495" s="5">
        <v>248</v>
      </c>
      <c r="B495" s="6" t="s">
        <v>116</v>
      </c>
      <c r="C495" s="6" t="s">
        <v>117</v>
      </c>
      <c r="D495" s="42" t="s">
        <v>1090</v>
      </c>
      <c r="E495" s="38" t="s">
        <v>1091</v>
      </c>
      <c r="F495" s="39">
        <v>3</v>
      </c>
      <c r="G495" s="78">
        <v>3000</v>
      </c>
      <c r="H495" s="48" t="s">
        <v>77</v>
      </c>
      <c r="I495" s="40" t="s">
        <v>80</v>
      </c>
      <c r="J495" s="36" t="s">
        <v>738</v>
      </c>
      <c r="K495" s="79"/>
    </row>
    <row r="496" spans="1:11" x14ac:dyDescent="0.2">
      <c r="A496" s="5">
        <v>249</v>
      </c>
      <c r="B496" s="6" t="s">
        <v>116</v>
      </c>
      <c r="C496" s="6" t="s">
        <v>117</v>
      </c>
      <c r="D496" s="42" t="s">
        <v>1092</v>
      </c>
      <c r="E496" s="38" t="s">
        <v>1083</v>
      </c>
      <c r="F496" s="39">
        <v>1.75</v>
      </c>
      <c r="G496" s="78">
        <v>2400</v>
      </c>
      <c r="H496" s="48" t="s">
        <v>77</v>
      </c>
      <c r="I496" s="40" t="s">
        <v>45</v>
      </c>
      <c r="J496" s="36" t="s">
        <v>738</v>
      </c>
      <c r="K496" s="79"/>
    </row>
    <row r="497" spans="1:11" x14ac:dyDescent="0.2">
      <c r="A497" s="6">
        <v>250</v>
      </c>
      <c r="B497" s="6" t="s">
        <v>116</v>
      </c>
      <c r="C497" s="6" t="s">
        <v>117</v>
      </c>
      <c r="D497" s="42" t="s">
        <v>1093</v>
      </c>
      <c r="E497" s="38" t="s">
        <v>1094</v>
      </c>
      <c r="F497" s="39">
        <v>1.5</v>
      </c>
      <c r="G497" s="78">
        <v>2400</v>
      </c>
      <c r="H497" s="48" t="s">
        <v>77</v>
      </c>
      <c r="I497" s="40" t="s">
        <v>79</v>
      </c>
      <c r="J497" s="36" t="s">
        <v>738</v>
      </c>
      <c r="K497" s="79"/>
    </row>
    <row r="498" spans="1:11" x14ac:dyDescent="0.2">
      <c r="A498" s="5">
        <v>251</v>
      </c>
      <c r="B498" s="6" t="s">
        <v>116</v>
      </c>
      <c r="C498" s="6" t="s">
        <v>117</v>
      </c>
      <c r="D498" s="42" t="s">
        <v>1095</v>
      </c>
      <c r="E498" s="38" t="s">
        <v>1067</v>
      </c>
      <c r="F498" s="39">
        <v>4.9000000000000004</v>
      </c>
      <c r="G498" s="78">
        <v>2400</v>
      </c>
      <c r="H498" s="48" t="s">
        <v>77</v>
      </c>
      <c r="I498" s="40" t="s">
        <v>45</v>
      </c>
      <c r="J498" s="36" t="s">
        <v>738</v>
      </c>
      <c r="K498" s="79"/>
    </row>
    <row r="499" spans="1:11" x14ac:dyDescent="0.2">
      <c r="A499" s="6">
        <v>163</v>
      </c>
      <c r="B499" s="6" t="s">
        <v>116</v>
      </c>
      <c r="C499" s="6" t="s">
        <v>113</v>
      </c>
      <c r="D499" s="42" t="s">
        <v>1096</v>
      </c>
      <c r="E499" s="38" t="s">
        <v>1097</v>
      </c>
      <c r="F499" s="43">
        <v>11.5</v>
      </c>
      <c r="G499" s="123">
        <v>2610</v>
      </c>
      <c r="H499" s="47" t="s">
        <v>57</v>
      </c>
      <c r="I499" s="36" t="s">
        <v>58</v>
      </c>
      <c r="J499" s="36" t="s">
        <v>1098</v>
      </c>
      <c r="K499" s="46"/>
    </row>
    <row r="500" spans="1:11" x14ac:dyDescent="0.2">
      <c r="A500" s="5">
        <v>164</v>
      </c>
      <c r="B500" s="6" t="s">
        <v>116</v>
      </c>
      <c r="C500" s="6" t="s">
        <v>113</v>
      </c>
      <c r="D500" s="42" t="s">
        <v>1099</v>
      </c>
      <c r="E500" s="38" t="s">
        <v>1100</v>
      </c>
      <c r="F500" s="43">
        <v>4.4000000000000004</v>
      </c>
      <c r="G500" s="124">
        <v>2400</v>
      </c>
      <c r="H500" s="125" t="s">
        <v>57</v>
      </c>
      <c r="I500" s="36" t="s">
        <v>51</v>
      </c>
      <c r="J500" s="36" t="s">
        <v>1101</v>
      </c>
      <c r="K500" s="46"/>
    </row>
    <row r="501" spans="1:11" x14ac:dyDescent="0.2">
      <c r="A501" s="5">
        <v>165</v>
      </c>
      <c r="B501" s="6" t="s">
        <v>116</v>
      </c>
      <c r="C501" s="6" t="s">
        <v>113</v>
      </c>
      <c r="D501" s="42" t="s">
        <v>1102</v>
      </c>
      <c r="E501" s="38" t="s">
        <v>1103</v>
      </c>
      <c r="F501" s="43">
        <v>2</v>
      </c>
      <c r="G501" s="124">
        <v>2400</v>
      </c>
      <c r="H501" s="47" t="s">
        <v>57</v>
      </c>
      <c r="I501" s="36" t="s">
        <v>52</v>
      </c>
      <c r="J501" s="36" t="s">
        <v>1098</v>
      </c>
      <c r="K501" s="46"/>
    </row>
    <row r="502" spans="1:11" x14ac:dyDescent="0.2">
      <c r="A502" s="6">
        <v>166</v>
      </c>
      <c r="B502" s="6" t="s">
        <v>116</v>
      </c>
      <c r="C502" s="6" t="s">
        <v>113</v>
      </c>
      <c r="D502" s="42" t="s">
        <v>1104</v>
      </c>
      <c r="E502" s="38" t="s">
        <v>1105</v>
      </c>
      <c r="F502" s="43">
        <v>10.3</v>
      </c>
      <c r="G502" s="123">
        <v>2610</v>
      </c>
      <c r="H502" s="47" t="s">
        <v>57</v>
      </c>
      <c r="I502" s="36" t="s">
        <v>58</v>
      </c>
      <c r="J502" s="36" t="s">
        <v>1098</v>
      </c>
      <c r="K502" s="46"/>
    </row>
    <row r="503" spans="1:11" x14ac:dyDescent="0.2">
      <c r="A503" s="5">
        <v>167</v>
      </c>
      <c r="B503" s="6" t="s">
        <v>116</v>
      </c>
      <c r="C503" s="6" t="s">
        <v>113</v>
      </c>
      <c r="D503" s="42" t="s">
        <v>1106</v>
      </c>
      <c r="E503" s="38" t="s">
        <v>1107</v>
      </c>
      <c r="F503" s="43">
        <v>4.4000000000000004</v>
      </c>
      <c r="G503" s="124">
        <v>2400</v>
      </c>
      <c r="H503" s="125" t="s">
        <v>57</v>
      </c>
      <c r="I503" s="36" t="s">
        <v>52</v>
      </c>
      <c r="J503" s="36" t="s">
        <v>1101</v>
      </c>
      <c r="K503" s="46"/>
    </row>
    <row r="504" spans="1:11" x14ac:dyDescent="0.2">
      <c r="A504" s="5">
        <v>168</v>
      </c>
      <c r="B504" s="6" t="s">
        <v>116</v>
      </c>
      <c r="C504" s="6" t="s">
        <v>113</v>
      </c>
      <c r="D504" s="42" t="s">
        <v>1108</v>
      </c>
      <c r="E504" s="38" t="s">
        <v>1109</v>
      </c>
      <c r="F504" s="43">
        <v>2</v>
      </c>
      <c r="G504" s="124">
        <v>2400</v>
      </c>
      <c r="H504" s="125" t="s">
        <v>57</v>
      </c>
      <c r="I504" s="36" t="s">
        <v>52</v>
      </c>
      <c r="J504" s="36" t="s">
        <v>1098</v>
      </c>
      <c r="K504" s="46"/>
    </row>
    <row r="505" spans="1:11" ht="30" x14ac:dyDescent="0.2">
      <c r="A505" s="6">
        <v>187</v>
      </c>
      <c r="B505" s="6" t="s">
        <v>116</v>
      </c>
      <c r="C505" s="6" t="s">
        <v>113</v>
      </c>
      <c r="D505" s="42" t="s">
        <v>1110</v>
      </c>
      <c r="E505" s="38" t="s">
        <v>1111</v>
      </c>
      <c r="F505" s="43">
        <v>2.95</v>
      </c>
      <c r="G505" s="124">
        <v>2610</v>
      </c>
      <c r="H505" s="47" t="s">
        <v>57</v>
      </c>
      <c r="I505" s="36" t="s">
        <v>51</v>
      </c>
      <c r="J505" s="36" t="s">
        <v>1112</v>
      </c>
      <c r="K505" s="46" t="s">
        <v>61</v>
      </c>
    </row>
    <row r="506" spans="1:11" ht="30" x14ac:dyDescent="0.2">
      <c r="A506" s="5">
        <v>188</v>
      </c>
      <c r="B506" s="6" t="s">
        <v>116</v>
      </c>
      <c r="C506" s="6" t="s">
        <v>113</v>
      </c>
      <c r="D506" s="42" t="s">
        <v>1113</v>
      </c>
      <c r="E506" s="38" t="s">
        <v>1114</v>
      </c>
      <c r="F506" s="43">
        <v>3.05</v>
      </c>
      <c r="G506" s="124">
        <v>2610</v>
      </c>
      <c r="H506" s="47" t="s">
        <v>57</v>
      </c>
      <c r="I506" s="36" t="s">
        <v>52</v>
      </c>
      <c r="J506" s="36" t="s">
        <v>1112</v>
      </c>
      <c r="K506" s="46" t="s">
        <v>61</v>
      </c>
    </row>
    <row r="507" spans="1:11" ht="30" x14ac:dyDescent="0.2">
      <c r="A507" s="5">
        <v>195</v>
      </c>
      <c r="B507" s="6" t="s">
        <v>116</v>
      </c>
      <c r="C507" s="6" t="s">
        <v>113</v>
      </c>
      <c r="D507" s="42" t="s">
        <v>1115</v>
      </c>
      <c r="E507" s="38" t="s">
        <v>1116</v>
      </c>
      <c r="F507" s="114">
        <v>11.35</v>
      </c>
      <c r="G507" s="123">
        <v>2610</v>
      </c>
      <c r="H507" s="47" t="s">
        <v>57</v>
      </c>
      <c r="I507" s="36" t="s">
        <v>69</v>
      </c>
      <c r="J507" s="36" t="s">
        <v>1112</v>
      </c>
      <c r="K507" s="46" t="s">
        <v>61</v>
      </c>
    </row>
    <row r="508" spans="1:11" ht="30" x14ac:dyDescent="0.2">
      <c r="A508" s="6">
        <v>196</v>
      </c>
      <c r="B508" s="6" t="s">
        <v>116</v>
      </c>
      <c r="C508" s="6" t="s">
        <v>113</v>
      </c>
      <c r="D508" s="42" t="s">
        <v>1117</v>
      </c>
      <c r="E508" s="38" t="s">
        <v>1118</v>
      </c>
      <c r="F508" s="43">
        <v>4</v>
      </c>
      <c r="G508" s="124">
        <v>2610</v>
      </c>
      <c r="H508" s="47" t="s">
        <v>57</v>
      </c>
      <c r="I508" s="36" t="s">
        <v>52</v>
      </c>
      <c r="J508" s="36" t="s">
        <v>1112</v>
      </c>
      <c r="K508" s="46" t="s">
        <v>61</v>
      </c>
    </row>
    <row r="509" spans="1:11" ht="30" x14ac:dyDescent="0.2">
      <c r="A509" s="5">
        <v>197</v>
      </c>
      <c r="B509" s="6" t="s">
        <v>116</v>
      </c>
      <c r="C509" s="6" t="s">
        <v>113</v>
      </c>
      <c r="D509" s="42" t="s">
        <v>1119</v>
      </c>
      <c r="E509" s="38" t="s">
        <v>1120</v>
      </c>
      <c r="F509" s="126">
        <v>5.85</v>
      </c>
      <c r="G509" s="124">
        <v>2610</v>
      </c>
      <c r="H509" s="47" t="s">
        <v>57</v>
      </c>
      <c r="I509" s="36" t="s">
        <v>51</v>
      </c>
      <c r="J509" s="36" t="s">
        <v>1112</v>
      </c>
      <c r="K509" s="46" t="s">
        <v>61</v>
      </c>
    </row>
    <row r="510" spans="1:11" x14ac:dyDescent="0.2">
      <c r="A510" s="6">
        <v>223</v>
      </c>
      <c r="B510" s="6" t="s">
        <v>116</v>
      </c>
      <c r="C510" s="6" t="s">
        <v>114</v>
      </c>
      <c r="D510" s="42" t="s">
        <v>1121</v>
      </c>
      <c r="E510" s="38" t="s">
        <v>1122</v>
      </c>
      <c r="F510" s="39">
        <v>4.25</v>
      </c>
      <c r="G510" s="78">
        <v>2610</v>
      </c>
      <c r="H510" s="36" t="s">
        <v>1123</v>
      </c>
      <c r="I510" s="36" t="s">
        <v>70</v>
      </c>
      <c r="J510" s="36" t="s">
        <v>738</v>
      </c>
      <c r="K510" s="46"/>
    </row>
    <row r="511" spans="1:11" x14ac:dyDescent="0.2">
      <c r="A511" s="5">
        <v>224</v>
      </c>
      <c r="B511" s="6" t="s">
        <v>116</v>
      </c>
      <c r="C511" s="6" t="s">
        <v>114</v>
      </c>
      <c r="D511" s="42" t="s">
        <v>1124</v>
      </c>
      <c r="E511" s="38" t="s">
        <v>1125</v>
      </c>
      <c r="F511" s="39">
        <v>3.1</v>
      </c>
      <c r="G511" s="78">
        <v>2610</v>
      </c>
      <c r="H511" s="36" t="s">
        <v>1123</v>
      </c>
      <c r="I511" s="36" t="s">
        <v>52</v>
      </c>
      <c r="J511" s="36" t="s">
        <v>778</v>
      </c>
      <c r="K511" s="46"/>
    </row>
    <row r="512" spans="1:11" x14ac:dyDescent="0.2">
      <c r="A512" s="5">
        <v>225</v>
      </c>
      <c r="B512" s="6" t="s">
        <v>116</v>
      </c>
      <c r="C512" s="6" t="s">
        <v>114</v>
      </c>
      <c r="D512" s="42" t="s">
        <v>1126</v>
      </c>
      <c r="E512" s="38" t="s">
        <v>1127</v>
      </c>
      <c r="F512" s="39">
        <v>1.5</v>
      </c>
      <c r="G512" s="78">
        <v>2610</v>
      </c>
      <c r="H512" s="36" t="s">
        <v>1123</v>
      </c>
      <c r="I512" s="36" t="s">
        <v>52</v>
      </c>
      <c r="J512" s="36" t="s">
        <v>738</v>
      </c>
      <c r="K512" s="46"/>
    </row>
    <row r="513" spans="1:11" ht="45" x14ac:dyDescent="0.2">
      <c r="A513" s="82">
        <v>171</v>
      </c>
      <c r="B513" s="83" t="s">
        <v>116</v>
      </c>
      <c r="C513" s="83" t="s">
        <v>113</v>
      </c>
      <c r="D513" s="89" t="s">
        <v>245</v>
      </c>
      <c r="E513" s="90" t="s">
        <v>246</v>
      </c>
      <c r="F513" s="127">
        <v>26.2</v>
      </c>
      <c r="G513" s="128">
        <v>2610</v>
      </c>
      <c r="H513" s="92" t="s">
        <v>57</v>
      </c>
      <c r="I513" s="92" t="s">
        <v>60</v>
      </c>
      <c r="J513" s="92" t="s">
        <v>247</v>
      </c>
      <c r="K513" s="100" t="s">
        <v>61</v>
      </c>
    </row>
    <row r="514" spans="1:11" x14ac:dyDescent="0.2">
      <c r="A514" s="5">
        <v>162</v>
      </c>
      <c r="B514" s="6" t="s">
        <v>116</v>
      </c>
      <c r="C514" s="6" t="s">
        <v>113</v>
      </c>
      <c r="D514" s="42" t="s">
        <v>1128</v>
      </c>
      <c r="E514" s="38" t="s">
        <v>1129</v>
      </c>
      <c r="F514" s="43">
        <v>26.9</v>
      </c>
      <c r="G514" s="124">
        <v>2610</v>
      </c>
      <c r="H514" s="47" t="s">
        <v>56</v>
      </c>
      <c r="I514" s="36" t="s">
        <v>36</v>
      </c>
      <c r="J514" s="36" t="s">
        <v>1098</v>
      </c>
      <c r="K514" s="46"/>
    </row>
    <row r="515" spans="1:11" x14ac:dyDescent="0.2">
      <c r="A515" s="5">
        <v>221</v>
      </c>
      <c r="B515" s="6" t="s">
        <v>116</v>
      </c>
      <c r="C515" s="6" t="s">
        <v>114</v>
      </c>
      <c r="D515" s="42" t="s">
        <v>1130</v>
      </c>
      <c r="E515" s="38" t="s">
        <v>1131</v>
      </c>
      <c r="F515" s="39">
        <v>29.8</v>
      </c>
      <c r="G515" s="78">
        <v>3000</v>
      </c>
      <c r="H515" s="48" t="s">
        <v>56</v>
      </c>
      <c r="I515" s="36" t="s">
        <v>63</v>
      </c>
      <c r="J515" s="36" t="s">
        <v>738</v>
      </c>
      <c r="K515" s="46"/>
    </row>
    <row r="516" spans="1:11" x14ac:dyDescent="0.2">
      <c r="A516" s="5">
        <v>222</v>
      </c>
      <c r="B516" s="6" t="s">
        <v>116</v>
      </c>
      <c r="C516" s="6" t="s">
        <v>114</v>
      </c>
      <c r="D516" s="42" t="s">
        <v>1132</v>
      </c>
      <c r="E516" s="38" t="s">
        <v>1133</v>
      </c>
      <c r="F516" s="39">
        <v>12.2</v>
      </c>
      <c r="G516" s="78">
        <v>2610</v>
      </c>
      <c r="H516" s="36" t="s">
        <v>1134</v>
      </c>
      <c r="I516" s="36" t="s">
        <v>63</v>
      </c>
      <c r="J516" s="36" t="s">
        <v>738</v>
      </c>
      <c r="K516" s="46"/>
    </row>
    <row r="517" spans="1:11" x14ac:dyDescent="0.2">
      <c r="A517" s="5">
        <v>185</v>
      </c>
      <c r="B517" s="6" t="s">
        <v>116</v>
      </c>
      <c r="C517" s="6" t="s">
        <v>113</v>
      </c>
      <c r="D517" s="42" t="s">
        <v>1135</v>
      </c>
      <c r="E517" s="38" t="s">
        <v>1136</v>
      </c>
      <c r="F517" s="43">
        <v>9.9</v>
      </c>
      <c r="G517" s="124">
        <v>2610</v>
      </c>
      <c r="H517" s="47" t="s">
        <v>67</v>
      </c>
      <c r="I517" s="36" t="s">
        <v>66</v>
      </c>
      <c r="J517" s="36" t="s">
        <v>1112</v>
      </c>
      <c r="K517" s="46"/>
    </row>
    <row r="518" spans="1:11" x14ac:dyDescent="0.2">
      <c r="A518" s="5">
        <v>186</v>
      </c>
      <c r="B518" s="6" t="s">
        <v>116</v>
      </c>
      <c r="C518" s="6" t="s">
        <v>113</v>
      </c>
      <c r="D518" s="42" t="s">
        <v>1137</v>
      </c>
      <c r="E518" s="38" t="s">
        <v>1138</v>
      </c>
      <c r="F518" s="43">
        <v>10.8</v>
      </c>
      <c r="G518" s="123">
        <v>2610</v>
      </c>
      <c r="H518" s="47" t="s">
        <v>67</v>
      </c>
      <c r="I518" s="36" t="s">
        <v>66</v>
      </c>
      <c r="J518" s="36" t="s">
        <v>1112</v>
      </c>
      <c r="K518" s="46"/>
    </row>
    <row r="519" spans="1:11" x14ac:dyDescent="0.2">
      <c r="A519" s="5">
        <v>189</v>
      </c>
      <c r="B519" s="6" t="s">
        <v>116</v>
      </c>
      <c r="C519" s="6" t="s">
        <v>113</v>
      </c>
      <c r="D519" s="42" t="s">
        <v>1139</v>
      </c>
      <c r="E519" s="38" t="s">
        <v>1140</v>
      </c>
      <c r="F519" s="126">
        <v>7.9</v>
      </c>
      <c r="G519" s="123">
        <v>2610</v>
      </c>
      <c r="H519" s="36" t="s">
        <v>67</v>
      </c>
      <c r="I519" s="36" t="s">
        <v>68</v>
      </c>
      <c r="J519" s="36" t="s">
        <v>1112</v>
      </c>
      <c r="K519" s="46"/>
    </row>
    <row r="520" spans="1:11" x14ac:dyDescent="0.2">
      <c r="A520" s="5">
        <v>194</v>
      </c>
      <c r="B520" s="6" t="s">
        <v>116</v>
      </c>
      <c r="C520" s="6" t="s">
        <v>113</v>
      </c>
      <c r="D520" s="42" t="s">
        <v>1141</v>
      </c>
      <c r="E520" s="38" t="s">
        <v>1142</v>
      </c>
      <c r="F520" s="114">
        <v>14.7</v>
      </c>
      <c r="G520" s="124">
        <v>2610</v>
      </c>
      <c r="H520" s="47" t="s">
        <v>67</v>
      </c>
      <c r="I520" s="36" t="s">
        <v>63</v>
      </c>
      <c r="J520" s="36" t="s">
        <v>1112</v>
      </c>
      <c r="K520" s="46"/>
    </row>
    <row r="521" spans="1:11" x14ac:dyDescent="0.2">
      <c r="A521" s="5">
        <v>198</v>
      </c>
      <c r="B521" s="6" t="s">
        <v>116</v>
      </c>
      <c r="C521" s="6" t="s">
        <v>113</v>
      </c>
      <c r="D521" s="42" t="s">
        <v>1143</v>
      </c>
      <c r="E521" s="38" t="s">
        <v>1144</v>
      </c>
      <c r="F521" s="43">
        <v>4.25</v>
      </c>
      <c r="G521" s="123">
        <v>2610</v>
      </c>
      <c r="H521" s="47" t="s">
        <v>67</v>
      </c>
      <c r="I521" s="36" t="s">
        <v>63</v>
      </c>
      <c r="J521" s="36" t="s">
        <v>1112</v>
      </c>
      <c r="K521" s="46"/>
    </row>
    <row r="522" spans="1:11" x14ac:dyDescent="0.2">
      <c r="A522" s="6">
        <v>199</v>
      </c>
      <c r="B522" s="6" t="s">
        <v>116</v>
      </c>
      <c r="C522" s="6" t="s">
        <v>113</v>
      </c>
      <c r="D522" s="42" t="s">
        <v>1145</v>
      </c>
      <c r="E522" s="38" t="s">
        <v>1146</v>
      </c>
      <c r="F522" s="43">
        <v>7.6</v>
      </c>
      <c r="G522" s="124">
        <v>2610</v>
      </c>
      <c r="H522" s="47" t="s">
        <v>67</v>
      </c>
      <c r="I522" s="36" t="s">
        <v>34</v>
      </c>
      <c r="J522" s="36" t="s">
        <v>1112</v>
      </c>
      <c r="K522" s="46"/>
    </row>
    <row r="523" spans="1:11" x14ac:dyDescent="0.2">
      <c r="A523" s="5">
        <v>200</v>
      </c>
      <c r="B523" s="6" t="s">
        <v>116</v>
      </c>
      <c r="C523" s="6" t="s">
        <v>113</v>
      </c>
      <c r="D523" s="42" t="s">
        <v>1147</v>
      </c>
      <c r="E523" s="76" t="s">
        <v>1148</v>
      </c>
      <c r="F523" s="43">
        <v>5.45</v>
      </c>
      <c r="G523" s="123">
        <v>2610</v>
      </c>
      <c r="H523" s="47" t="s">
        <v>67</v>
      </c>
      <c r="I523" s="36" t="s">
        <v>34</v>
      </c>
      <c r="J523" s="36" t="s">
        <v>1112</v>
      </c>
      <c r="K523" s="46"/>
    </row>
    <row r="524" spans="1:11" x14ac:dyDescent="0.2">
      <c r="A524" s="5">
        <v>201</v>
      </c>
      <c r="B524" s="6" t="s">
        <v>116</v>
      </c>
      <c r="C524" s="6" t="s">
        <v>113</v>
      </c>
      <c r="D524" s="42" t="s">
        <v>1149</v>
      </c>
      <c r="E524" s="38" t="s">
        <v>1150</v>
      </c>
      <c r="F524" s="114">
        <v>11.4</v>
      </c>
      <c r="G524" s="123">
        <v>2610</v>
      </c>
      <c r="H524" s="47" t="s">
        <v>67</v>
      </c>
      <c r="I524" s="36" t="s">
        <v>63</v>
      </c>
      <c r="J524" s="36" t="s">
        <v>1112</v>
      </c>
      <c r="K524" s="46"/>
    </row>
    <row r="525" spans="1:11" x14ac:dyDescent="0.2">
      <c r="A525" s="6">
        <v>202</v>
      </c>
      <c r="B525" s="6" t="s">
        <v>116</v>
      </c>
      <c r="C525" s="6" t="s">
        <v>113</v>
      </c>
      <c r="D525" s="42" t="s">
        <v>1151</v>
      </c>
      <c r="E525" s="38" t="s">
        <v>1152</v>
      </c>
      <c r="F525" s="126">
        <v>5.45</v>
      </c>
      <c r="G525" s="124">
        <v>2610</v>
      </c>
      <c r="H525" s="47" t="s">
        <v>67</v>
      </c>
      <c r="I525" s="36" t="s">
        <v>63</v>
      </c>
      <c r="J525" s="36" t="s">
        <v>1112</v>
      </c>
      <c r="K525" s="46"/>
    </row>
    <row r="526" spans="1:11" x14ac:dyDescent="0.2">
      <c r="A526" s="5">
        <v>203</v>
      </c>
      <c r="B526" s="6" t="s">
        <v>116</v>
      </c>
      <c r="C526" s="6" t="s">
        <v>113</v>
      </c>
      <c r="D526" s="42" t="s">
        <v>1153</v>
      </c>
      <c r="E526" s="38" t="s">
        <v>1154</v>
      </c>
      <c r="F526" s="43">
        <v>5.5</v>
      </c>
      <c r="G526" s="124">
        <v>2610</v>
      </c>
      <c r="H526" s="47" t="s">
        <v>67</v>
      </c>
      <c r="I526" s="36" t="s">
        <v>63</v>
      </c>
      <c r="J526" s="36" t="s">
        <v>1112</v>
      </c>
      <c r="K526" s="46"/>
    </row>
    <row r="527" spans="1:11" x14ac:dyDescent="0.2">
      <c r="A527" s="83">
        <v>172</v>
      </c>
      <c r="B527" s="83" t="s">
        <v>116</v>
      </c>
      <c r="C527" s="83" t="s">
        <v>113</v>
      </c>
      <c r="D527" s="84" t="s">
        <v>249</v>
      </c>
      <c r="E527" s="85" t="s">
        <v>250</v>
      </c>
      <c r="F527" s="86">
        <v>4</v>
      </c>
      <c r="G527" s="104">
        <v>2610</v>
      </c>
      <c r="H527" s="45" t="s">
        <v>67</v>
      </c>
      <c r="I527" s="45" t="s">
        <v>63</v>
      </c>
      <c r="J527" s="45" t="s">
        <v>26</v>
      </c>
      <c r="K527" s="88"/>
    </row>
    <row r="528" spans="1:11" x14ac:dyDescent="0.2">
      <c r="A528" s="129">
        <v>182</v>
      </c>
      <c r="B528" s="130" t="s">
        <v>116</v>
      </c>
      <c r="C528" s="130" t="s">
        <v>113</v>
      </c>
      <c r="D528" s="42" t="s">
        <v>251</v>
      </c>
      <c r="E528" s="38" t="s">
        <v>252</v>
      </c>
      <c r="F528" s="131">
        <v>9.25</v>
      </c>
      <c r="G528" s="132">
        <v>2610</v>
      </c>
      <c r="H528" s="36" t="s">
        <v>67</v>
      </c>
      <c r="I528" s="36" t="s">
        <v>66</v>
      </c>
      <c r="J528" s="36" t="s">
        <v>26</v>
      </c>
      <c r="K528" s="46"/>
    </row>
    <row r="529" spans="1:11" x14ac:dyDescent="0.2">
      <c r="A529" s="83">
        <v>193</v>
      </c>
      <c r="B529" s="83" t="s">
        <v>116</v>
      </c>
      <c r="C529" s="83" t="s">
        <v>113</v>
      </c>
      <c r="D529" s="84" t="s">
        <v>253</v>
      </c>
      <c r="E529" s="85" t="s">
        <v>254</v>
      </c>
      <c r="F529" s="86">
        <f>15.85-9.9</f>
        <v>5.9499999999999993</v>
      </c>
      <c r="G529" s="104">
        <v>2610</v>
      </c>
      <c r="H529" s="45" t="s">
        <v>67</v>
      </c>
      <c r="I529" s="45" t="s">
        <v>36</v>
      </c>
      <c r="J529" s="45" t="s">
        <v>26</v>
      </c>
      <c r="K529" s="88"/>
    </row>
    <row r="530" spans="1:11" x14ac:dyDescent="0.2">
      <c r="A530" s="83">
        <v>172</v>
      </c>
      <c r="B530" s="83" t="s">
        <v>116</v>
      </c>
      <c r="C530" s="83" t="s">
        <v>113</v>
      </c>
      <c r="D530" s="84" t="s">
        <v>249</v>
      </c>
      <c r="E530" s="85" t="s">
        <v>250</v>
      </c>
      <c r="F530" s="86">
        <f>14.1-4</f>
        <v>10.1</v>
      </c>
      <c r="G530" s="104">
        <v>2610</v>
      </c>
      <c r="H530" s="45" t="s">
        <v>64</v>
      </c>
      <c r="I530" s="45" t="s">
        <v>63</v>
      </c>
      <c r="J530" s="45" t="s">
        <v>26</v>
      </c>
      <c r="K530" s="88"/>
    </row>
    <row r="531" spans="1:11" x14ac:dyDescent="0.2">
      <c r="A531" s="83">
        <v>193</v>
      </c>
      <c r="B531" s="83" t="s">
        <v>116</v>
      </c>
      <c r="C531" s="83" t="s">
        <v>113</v>
      </c>
      <c r="D531" s="84" t="s">
        <v>253</v>
      </c>
      <c r="E531" s="85" t="s">
        <v>254</v>
      </c>
      <c r="F531" s="86">
        <v>9.9</v>
      </c>
      <c r="G531" s="104">
        <v>2610</v>
      </c>
      <c r="H531" s="45" t="s">
        <v>64</v>
      </c>
      <c r="I531" s="45" t="s">
        <v>36</v>
      </c>
      <c r="J531" s="45" t="s">
        <v>26</v>
      </c>
      <c r="K531" s="88"/>
    </row>
    <row r="532" spans="1:11" x14ac:dyDescent="0.2">
      <c r="A532" s="129">
        <v>204</v>
      </c>
      <c r="B532" s="130" t="s">
        <v>116</v>
      </c>
      <c r="C532" s="130" t="s">
        <v>113</v>
      </c>
      <c r="D532" s="42" t="s">
        <v>255</v>
      </c>
      <c r="E532" s="38" t="s">
        <v>115</v>
      </c>
      <c r="F532" s="131">
        <v>55.45</v>
      </c>
      <c r="G532" s="132">
        <v>2610</v>
      </c>
      <c r="H532" s="45" t="s">
        <v>64</v>
      </c>
      <c r="I532" s="36" t="s">
        <v>36</v>
      </c>
      <c r="J532" s="36" t="s">
        <v>26</v>
      </c>
      <c r="K532" s="88"/>
    </row>
    <row r="533" spans="1:11" x14ac:dyDescent="0.2">
      <c r="A533" s="6">
        <v>175</v>
      </c>
      <c r="B533" s="6" t="s">
        <v>116</v>
      </c>
      <c r="C533" s="6" t="s">
        <v>113</v>
      </c>
      <c r="D533" s="42" t="s">
        <v>1155</v>
      </c>
      <c r="E533" s="38" t="s">
        <v>1138</v>
      </c>
      <c r="F533" s="43">
        <v>8.65</v>
      </c>
      <c r="G533" s="123">
        <v>2610</v>
      </c>
      <c r="H533" s="47" t="s">
        <v>64</v>
      </c>
      <c r="I533" s="36" t="s">
        <v>63</v>
      </c>
      <c r="J533" s="36" t="s">
        <v>1156</v>
      </c>
      <c r="K533" s="46"/>
    </row>
    <row r="534" spans="1:11" x14ac:dyDescent="0.2">
      <c r="A534" s="5">
        <v>176</v>
      </c>
      <c r="B534" s="6" t="s">
        <v>116</v>
      </c>
      <c r="C534" s="6" t="s">
        <v>113</v>
      </c>
      <c r="D534" s="42" t="s">
        <v>1157</v>
      </c>
      <c r="E534" s="38" t="s">
        <v>1158</v>
      </c>
      <c r="F534" s="43">
        <v>7</v>
      </c>
      <c r="G534" s="124">
        <v>2610</v>
      </c>
      <c r="H534" s="47" t="s">
        <v>64</v>
      </c>
      <c r="I534" s="36" t="s">
        <v>63</v>
      </c>
      <c r="J534" s="36" t="s">
        <v>1112</v>
      </c>
      <c r="K534" s="46"/>
    </row>
    <row r="535" spans="1:11" x14ac:dyDescent="0.2">
      <c r="A535" s="5">
        <v>180</v>
      </c>
      <c r="B535" s="6" t="s">
        <v>116</v>
      </c>
      <c r="C535" s="6" t="s">
        <v>113</v>
      </c>
      <c r="D535" s="42" t="s">
        <v>1159</v>
      </c>
      <c r="E535" s="38" t="s">
        <v>1160</v>
      </c>
      <c r="F535" s="43">
        <v>5.5</v>
      </c>
      <c r="G535" s="124">
        <v>2610</v>
      </c>
      <c r="H535" s="47" t="s">
        <v>64</v>
      </c>
      <c r="I535" s="36" t="s">
        <v>34</v>
      </c>
      <c r="J535" s="36" t="s">
        <v>1098</v>
      </c>
      <c r="K535" s="46"/>
    </row>
    <row r="536" spans="1:11" x14ac:dyDescent="0.2">
      <c r="A536" s="6">
        <v>181</v>
      </c>
      <c r="B536" s="6" t="s">
        <v>116</v>
      </c>
      <c r="C536" s="6" t="s">
        <v>113</v>
      </c>
      <c r="D536" s="42" t="s">
        <v>1161</v>
      </c>
      <c r="E536" s="38" t="s">
        <v>1162</v>
      </c>
      <c r="F536" s="43">
        <v>4.8</v>
      </c>
      <c r="G536" s="123">
        <v>2610</v>
      </c>
      <c r="H536" s="47" t="s">
        <v>64</v>
      </c>
      <c r="I536" s="36" t="s">
        <v>63</v>
      </c>
      <c r="J536" s="36" t="s">
        <v>1112</v>
      </c>
      <c r="K536" s="46"/>
    </row>
    <row r="537" spans="1:11" x14ac:dyDescent="0.2">
      <c r="A537" s="5">
        <v>183</v>
      </c>
      <c r="B537" s="6" t="s">
        <v>116</v>
      </c>
      <c r="C537" s="6" t="s">
        <v>113</v>
      </c>
      <c r="D537" s="42" t="s">
        <v>1163</v>
      </c>
      <c r="E537" s="38" t="s">
        <v>1138</v>
      </c>
      <c r="F537" s="126">
        <v>3.75</v>
      </c>
      <c r="G537" s="123">
        <v>2610</v>
      </c>
      <c r="H537" s="47" t="s">
        <v>64</v>
      </c>
      <c r="I537" s="36" t="s">
        <v>34</v>
      </c>
      <c r="J537" s="36" t="s">
        <v>1112</v>
      </c>
      <c r="K537" s="46"/>
    </row>
    <row r="538" spans="1:11" x14ac:dyDescent="0.2">
      <c r="A538" s="6">
        <v>184</v>
      </c>
      <c r="B538" s="6" t="s">
        <v>116</v>
      </c>
      <c r="C538" s="6" t="s">
        <v>113</v>
      </c>
      <c r="D538" s="42" t="s">
        <v>1164</v>
      </c>
      <c r="E538" s="38" t="s">
        <v>1138</v>
      </c>
      <c r="F538" s="126">
        <v>3.2</v>
      </c>
      <c r="G538" s="123">
        <v>2610</v>
      </c>
      <c r="H538" s="47" t="s">
        <v>64</v>
      </c>
      <c r="I538" s="36" t="s">
        <v>63</v>
      </c>
      <c r="J538" s="36" t="s">
        <v>1112</v>
      </c>
      <c r="K538" s="46"/>
    </row>
    <row r="539" spans="1:11" ht="30" x14ac:dyDescent="0.2">
      <c r="A539" s="82">
        <v>179</v>
      </c>
      <c r="B539" s="83" t="s">
        <v>116</v>
      </c>
      <c r="C539" s="83" t="s">
        <v>113</v>
      </c>
      <c r="D539" s="84" t="s">
        <v>256</v>
      </c>
      <c r="E539" s="85" t="s">
        <v>257</v>
      </c>
      <c r="F539" s="86">
        <f>22.25-11.6</f>
        <v>10.65</v>
      </c>
      <c r="G539" s="104">
        <v>2610</v>
      </c>
      <c r="H539" s="45" t="s">
        <v>64</v>
      </c>
      <c r="I539" s="45" t="s">
        <v>65</v>
      </c>
      <c r="J539" s="45" t="s">
        <v>26</v>
      </c>
      <c r="K539" s="88" t="s">
        <v>61</v>
      </c>
    </row>
    <row r="540" spans="1:11" x14ac:dyDescent="0.2">
      <c r="A540" s="83">
        <v>265</v>
      </c>
      <c r="B540" s="83" t="s">
        <v>116</v>
      </c>
      <c r="C540" s="83" t="s">
        <v>117</v>
      </c>
      <c r="D540" s="84" t="s">
        <v>239</v>
      </c>
      <c r="E540" s="85" t="s">
        <v>115</v>
      </c>
      <c r="F540" s="86">
        <f>33.95-19.9</f>
        <v>14.050000000000004</v>
      </c>
      <c r="G540" s="104">
        <v>3000</v>
      </c>
      <c r="H540" s="45" t="s">
        <v>29</v>
      </c>
      <c r="I540" s="45" t="s">
        <v>73</v>
      </c>
      <c r="J540" s="45" t="s">
        <v>32</v>
      </c>
      <c r="K540" s="117"/>
    </row>
    <row r="541" spans="1:11" ht="30" x14ac:dyDescent="0.2">
      <c r="A541" s="82">
        <v>113</v>
      </c>
      <c r="B541" s="83" t="s">
        <v>116</v>
      </c>
      <c r="C541" s="83" t="s">
        <v>112</v>
      </c>
      <c r="D541" s="118" t="s">
        <v>240</v>
      </c>
      <c r="E541" s="85" t="s">
        <v>241</v>
      </c>
      <c r="F541" s="86">
        <v>94.6</v>
      </c>
      <c r="G541" s="87">
        <v>2610.3000000000002</v>
      </c>
      <c r="H541" s="45" t="s">
        <v>29</v>
      </c>
      <c r="I541" s="45" t="s">
        <v>31</v>
      </c>
      <c r="J541" s="45" t="s">
        <v>32</v>
      </c>
      <c r="K541" s="117" t="s">
        <v>33</v>
      </c>
    </row>
    <row r="542" spans="1:11" x14ac:dyDescent="0.2">
      <c r="A542" s="130">
        <v>151</v>
      </c>
      <c r="B542" s="130" t="s">
        <v>116</v>
      </c>
      <c r="C542" s="130" t="s">
        <v>113</v>
      </c>
      <c r="D542" s="42" t="s">
        <v>242</v>
      </c>
      <c r="E542" s="38" t="s">
        <v>115</v>
      </c>
      <c r="F542" s="131">
        <v>14.7</v>
      </c>
      <c r="G542" s="132">
        <v>2610</v>
      </c>
      <c r="H542" s="45" t="s">
        <v>29</v>
      </c>
      <c r="I542" s="36" t="s">
        <v>34</v>
      </c>
      <c r="J542" s="36" t="s">
        <v>26</v>
      </c>
      <c r="K542" s="46"/>
    </row>
    <row r="543" spans="1:11" x14ac:dyDescent="0.2">
      <c r="A543" s="6">
        <v>112</v>
      </c>
      <c r="B543" s="6" t="s">
        <v>116</v>
      </c>
      <c r="C543" s="6" t="s">
        <v>112</v>
      </c>
      <c r="D543" s="37" t="s">
        <v>1165</v>
      </c>
      <c r="E543" s="38" t="s">
        <v>1166</v>
      </c>
      <c r="F543" s="39">
        <v>15.9</v>
      </c>
      <c r="G543" s="78">
        <v>3000</v>
      </c>
      <c r="H543" s="48" t="s">
        <v>29</v>
      </c>
      <c r="I543" s="36" t="s">
        <v>30</v>
      </c>
      <c r="J543" s="36" t="s">
        <v>1017</v>
      </c>
      <c r="K543" s="79"/>
    </row>
    <row r="544" spans="1:11" x14ac:dyDescent="0.2">
      <c r="A544" s="5">
        <v>234</v>
      </c>
      <c r="B544" s="6" t="s">
        <v>116</v>
      </c>
      <c r="C544" s="6" t="s">
        <v>117</v>
      </c>
      <c r="D544" s="42" t="s">
        <v>1167</v>
      </c>
      <c r="E544" s="38" t="s">
        <v>861</v>
      </c>
      <c r="F544" s="39">
        <v>7.35</v>
      </c>
      <c r="G544" s="78">
        <v>3000</v>
      </c>
      <c r="H544" s="36" t="s">
        <v>1168</v>
      </c>
      <c r="I544" s="36" t="s">
        <v>71</v>
      </c>
      <c r="J544" s="36" t="s">
        <v>1169</v>
      </c>
      <c r="K544" s="79"/>
    </row>
    <row r="545" spans="1:11" x14ac:dyDescent="0.2">
      <c r="A545" s="6">
        <v>235</v>
      </c>
      <c r="B545" s="6" t="s">
        <v>116</v>
      </c>
      <c r="C545" s="6" t="s">
        <v>117</v>
      </c>
      <c r="D545" s="42" t="s">
        <v>1170</v>
      </c>
      <c r="E545" s="38" t="s">
        <v>1166</v>
      </c>
      <c r="F545" s="39">
        <v>32.200000000000003</v>
      </c>
      <c r="G545" s="78">
        <v>3000</v>
      </c>
      <c r="H545" s="36" t="s">
        <v>1168</v>
      </c>
      <c r="I545" s="36" t="s">
        <v>72</v>
      </c>
      <c r="J545" s="36" t="s">
        <v>1017</v>
      </c>
      <c r="K545" s="79"/>
    </row>
    <row r="546" spans="1:11" x14ac:dyDescent="0.2">
      <c r="A546" s="6">
        <v>253</v>
      </c>
      <c r="B546" s="6" t="s">
        <v>116</v>
      </c>
      <c r="C546" s="6" t="s">
        <v>117</v>
      </c>
      <c r="D546" s="42" t="s">
        <v>1171</v>
      </c>
      <c r="E546" s="38" t="s">
        <v>1172</v>
      </c>
      <c r="F546" s="39">
        <v>25.2</v>
      </c>
      <c r="G546" s="78">
        <v>3050</v>
      </c>
      <c r="H546" s="36" t="s">
        <v>1168</v>
      </c>
      <c r="I546" s="36" t="s">
        <v>81</v>
      </c>
      <c r="J546" s="36" t="s">
        <v>1017</v>
      </c>
      <c r="K546" s="79"/>
    </row>
    <row r="547" spans="1:11" x14ac:dyDescent="0.2">
      <c r="A547" s="5">
        <v>236</v>
      </c>
      <c r="B547" s="6" t="s">
        <v>116</v>
      </c>
      <c r="C547" s="6" t="s">
        <v>117</v>
      </c>
      <c r="D547" s="42" t="s">
        <v>1173</v>
      </c>
      <c r="E547" s="38" t="s">
        <v>1019</v>
      </c>
      <c r="F547" s="39">
        <v>24.1</v>
      </c>
      <c r="G547" s="78">
        <v>3000</v>
      </c>
      <c r="H547" s="45" t="s">
        <v>29</v>
      </c>
      <c r="I547" s="36" t="s">
        <v>72</v>
      </c>
      <c r="J547" s="36" t="s">
        <v>1017</v>
      </c>
      <c r="K547" s="79"/>
    </row>
    <row r="548" spans="1:11" x14ac:dyDescent="0.2">
      <c r="A548" s="5">
        <v>237</v>
      </c>
      <c r="B548" s="6" t="s">
        <v>116</v>
      </c>
      <c r="C548" s="6" t="s">
        <v>117</v>
      </c>
      <c r="D548" s="42" t="s">
        <v>1174</v>
      </c>
      <c r="E548" s="38" t="s">
        <v>1085</v>
      </c>
      <c r="F548" s="39">
        <v>356.15</v>
      </c>
      <c r="G548" s="78">
        <v>3000</v>
      </c>
      <c r="H548" s="45" t="s">
        <v>29</v>
      </c>
      <c r="I548" s="36" t="s">
        <v>73</v>
      </c>
      <c r="J548" s="36" t="s">
        <v>1017</v>
      </c>
      <c r="K548" s="79"/>
    </row>
    <row r="549" spans="1:11" x14ac:dyDescent="0.2">
      <c r="A549" s="6">
        <v>121</v>
      </c>
      <c r="B549" s="6" t="s">
        <v>116</v>
      </c>
      <c r="C549" s="6" t="s">
        <v>112</v>
      </c>
      <c r="D549" s="37" t="s">
        <v>1175</v>
      </c>
      <c r="E549" s="38" t="s">
        <v>1176</v>
      </c>
      <c r="F549" s="39">
        <v>74.099999999999994</v>
      </c>
      <c r="G549" s="78">
        <v>3000</v>
      </c>
      <c r="H549" s="45" t="s">
        <v>50</v>
      </c>
      <c r="I549" s="36" t="s">
        <v>39</v>
      </c>
      <c r="J549" s="36" t="s">
        <v>738</v>
      </c>
      <c r="K549" s="79"/>
    </row>
    <row r="550" spans="1:11" x14ac:dyDescent="0.2">
      <c r="A550" s="6">
        <v>154</v>
      </c>
      <c r="B550" s="6" t="s">
        <v>116</v>
      </c>
      <c r="C550" s="6" t="s">
        <v>113</v>
      </c>
      <c r="D550" s="42" t="s">
        <v>1177</v>
      </c>
      <c r="E550" s="38" t="s">
        <v>1178</v>
      </c>
      <c r="F550" s="43">
        <v>13.3</v>
      </c>
      <c r="G550" s="123">
        <v>3000</v>
      </c>
      <c r="H550" s="45" t="s">
        <v>50</v>
      </c>
      <c r="I550" s="36" t="s">
        <v>41</v>
      </c>
      <c r="J550" s="36" t="s">
        <v>1098</v>
      </c>
      <c r="K550" s="46"/>
    </row>
    <row r="551" spans="1:11" ht="30" x14ac:dyDescent="0.2">
      <c r="A551" s="5">
        <v>117</v>
      </c>
      <c r="B551" s="6" t="s">
        <v>116</v>
      </c>
      <c r="C551" s="6" t="s">
        <v>112</v>
      </c>
      <c r="D551" s="37" t="s">
        <v>1179</v>
      </c>
      <c r="E551" s="38" t="s">
        <v>1180</v>
      </c>
      <c r="F551" s="39">
        <v>23.1</v>
      </c>
      <c r="G551" s="78">
        <v>3000</v>
      </c>
      <c r="H551" s="36" t="s">
        <v>639</v>
      </c>
      <c r="I551" s="36" t="s">
        <v>38</v>
      </c>
      <c r="J551" s="36" t="s">
        <v>1181</v>
      </c>
      <c r="K551" s="79"/>
    </row>
    <row r="552" spans="1:11" x14ac:dyDescent="0.2">
      <c r="A552" s="5">
        <v>152</v>
      </c>
      <c r="B552" s="6" t="s">
        <v>116</v>
      </c>
      <c r="C552" s="6" t="s">
        <v>113</v>
      </c>
      <c r="D552" s="64" t="s">
        <v>1182</v>
      </c>
      <c r="E552" s="65" t="s">
        <v>1183</v>
      </c>
      <c r="F552" s="133">
        <v>21.05</v>
      </c>
      <c r="G552" s="134">
        <v>3000</v>
      </c>
      <c r="H552" s="53" t="s">
        <v>1184</v>
      </c>
      <c r="I552" s="53" t="s">
        <v>39</v>
      </c>
      <c r="J552" s="53" t="s">
        <v>1098</v>
      </c>
      <c r="K552" s="68"/>
    </row>
    <row r="553" spans="1:11" x14ac:dyDescent="0.2">
      <c r="A553" s="5">
        <v>153</v>
      </c>
      <c r="B553" s="6" t="s">
        <v>116</v>
      </c>
      <c r="C553" s="6" t="s">
        <v>113</v>
      </c>
      <c r="D553" s="42" t="s">
        <v>1185</v>
      </c>
      <c r="E553" s="38" t="s">
        <v>1186</v>
      </c>
      <c r="F553" s="43">
        <v>13.2</v>
      </c>
      <c r="G553" s="124">
        <v>3000</v>
      </c>
      <c r="H553" s="125" t="s">
        <v>50</v>
      </c>
      <c r="I553" s="36" t="s">
        <v>36</v>
      </c>
      <c r="J553" s="36" t="s">
        <v>1098</v>
      </c>
      <c r="K553" s="46"/>
    </row>
    <row r="554" spans="1:11" x14ac:dyDescent="0.2">
      <c r="A554" s="5">
        <v>254</v>
      </c>
      <c r="B554" s="6" t="s">
        <v>116</v>
      </c>
      <c r="C554" s="6" t="s">
        <v>117</v>
      </c>
      <c r="D554" s="42" t="s">
        <v>1187</v>
      </c>
      <c r="E554" s="38" t="s">
        <v>1188</v>
      </c>
      <c r="F554" s="39">
        <v>13.45</v>
      </c>
      <c r="G554" s="36" t="s">
        <v>1189</v>
      </c>
      <c r="H554" s="36" t="s">
        <v>639</v>
      </c>
      <c r="I554" s="36" t="s">
        <v>31</v>
      </c>
      <c r="J554" s="36" t="s">
        <v>738</v>
      </c>
      <c r="K554" s="79"/>
    </row>
    <row r="555" spans="1:11" x14ac:dyDescent="0.2">
      <c r="A555" s="5">
        <v>255</v>
      </c>
      <c r="B555" s="6" t="s">
        <v>116</v>
      </c>
      <c r="C555" s="6" t="s">
        <v>117</v>
      </c>
      <c r="D555" s="42" t="s">
        <v>1190</v>
      </c>
      <c r="E555" s="38" t="s">
        <v>1191</v>
      </c>
      <c r="F555" s="39">
        <v>14.6</v>
      </c>
      <c r="G555" s="36" t="s">
        <v>1192</v>
      </c>
      <c r="H555" s="36" t="s">
        <v>639</v>
      </c>
      <c r="I555" s="36" t="s">
        <v>36</v>
      </c>
      <c r="J555" s="36" t="s">
        <v>738</v>
      </c>
      <c r="K555" s="79"/>
    </row>
    <row r="556" spans="1:11" x14ac:dyDescent="0.2">
      <c r="A556" s="6">
        <v>256</v>
      </c>
      <c r="B556" s="6" t="s">
        <v>116</v>
      </c>
      <c r="C556" s="6" t="s">
        <v>117</v>
      </c>
      <c r="D556" s="42" t="s">
        <v>1193</v>
      </c>
      <c r="E556" s="38" t="s">
        <v>1194</v>
      </c>
      <c r="F556" s="39">
        <v>14.6</v>
      </c>
      <c r="G556" s="36" t="s">
        <v>1192</v>
      </c>
      <c r="H556" s="36" t="s">
        <v>639</v>
      </c>
      <c r="I556" s="36" t="s">
        <v>36</v>
      </c>
      <c r="J556" s="36" t="s">
        <v>738</v>
      </c>
      <c r="K556" s="79"/>
    </row>
    <row r="557" spans="1:11" x14ac:dyDescent="0.2">
      <c r="A557" s="5">
        <v>257</v>
      </c>
      <c r="B557" s="6" t="s">
        <v>116</v>
      </c>
      <c r="C557" s="6" t="s">
        <v>117</v>
      </c>
      <c r="D557" s="42" t="s">
        <v>1195</v>
      </c>
      <c r="E557" s="38" t="s">
        <v>1196</v>
      </c>
      <c r="F557" s="39">
        <v>14.6</v>
      </c>
      <c r="G557" s="36" t="s">
        <v>1192</v>
      </c>
      <c r="H557" s="36" t="s">
        <v>639</v>
      </c>
      <c r="I557" s="36" t="s">
        <v>36</v>
      </c>
      <c r="J557" s="36" t="s">
        <v>738</v>
      </c>
      <c r="K557" s="79"/>
    </row>
    <row r="558" spans="1:11" x14ac:dyDescent="0.2">
      <c r="A558" s="5">
        <v>258</v>
      </c>
      <c r="B558" s="6" t="s">
        <v>116</v>
      </c>
      <c r="C558" s="6" t="s">
        <v>117</v>
      </c>
      <c r="D558" s="42" t="s">
        <v>1197</v>
      </c>
      <c r="E558" s="38" t="s">
        <v>1198</v>
      </c>
      <c r="F558" s="39">
        <v>14.6</v>
      </c>
      <c r="G558" s="36" t="s">
        <v>1189</v>
      </c>
      <c r="H558" s="36" t="s">
        <v>639</v>
      </c>
      <c r="I558" s="36" t="s">
        <v>36</v>
      </c>
      <c r="J558" s="36" t="s">
        <v>738</v>
      </c>
      <c r="K558" s="79"/>
    </row>
    <row r="559" spans="1:11" x14ac:dyDescent="0.2">
      <c r="A559" s="6">
        <v>238</v>
      </c>
      <c r="B559" s="6" t="s">
        <v>116</v>
      </c>
      <c r="C559" s="6" t="s">
        <v>117</v>
      </c>
      <c r="D559" s="42" t="s">
        <v>1199</v>
      </c>
      <c r="E559" s="38" t="s">
        <v>1200</v>
      </c>
      <c r="F559" s="39">
        <v>33.75</v>
      </c>
      <c r="G559" s="78">
        <v>5250</v>
      </c>
      <c r="H559" s="45" t="s">
        <v>50</v>
      </c>
      <c r="I559" s="36" t="s">
        <v>34</v>
      </c>
      <c r="J559" s="36" t="s">
        <v>1017</v>
      </c>
      <c r="K559" s="79"/>
    </row>
    <row r="560" spans="1:11" x14ac:dyDescent="0.2">
      <c r="A560" s="5">
        <v>239</v>
      </c>
      <c r="B560" s="6" t="s">
        <v>116</v>
      </c>
      <c r="C560" s="6" t="s">
        <v>117</v>
      </c>
      <c r="D560" s="42" t="s">
        <v>1201</v>
      </c>
      <c r="E560" s="38" t="s">
        <v>1202</v>
      </c>
      <c r="F560" s="39">
        <v>17.399999999999999</v>
      </c>
      <c r="G560" s="80">
        <v>2800.3</v>
      </c>
      <c r="H560" s="45" t="s">
        <v>50</v>
      </c>
      <c r="I560" s="36" t="s">
        <v>36</v>
      </c>
      <c r="J560" s="36" t="s">
        <v>1169</v>
      </c>
      <c r="K560" s="79"/>
    </row>
    <row r="561" spans="1:11" x14ac:dyDescent="0.2">
      <c r="A561" s="5">
        <v>240</v>
      </c>
      <c r="B561" s="6" t="s">
        <v>116</v>
      </c>
      <c r="C561" s="6" t="s">
        <v>117</v>
      </c>
      <c r="D561" s="42" t="s">
        <v>1203</v>
      </c>
      <c r="E561" s="38" t="s">
        <v>1202</v>
      </c>
      <c r="F561" s="39">
        <v>16.899999999999999</v>
      </c>
      <c r="G561" s="80">
        <v>2800.3</v>
      </c>
      <c r="H561" s="45" t="s">
        <v>50</v>
      </c>
      <c r="I561" s="36" t="s">
        <v>36</v>
      </c>
      <c r="J561" s="36" t="s">
        <v>1169</v>
      </c>
      <c r="K561" s="79"/>
    </row>
    <row r="562" spans="1:11" x14ac:dyDescent="0.2">
      <c r="A562" s="6">
        <v>259</v>
      </c>
      <c r="B562" s="6" t="s">
        <v>116</v>
      </c>
      <c r="C562" s="6" t="s">
        <v>117</v>
      </c>
      <c r="D562" s="42" t="s">
        <v>1204</v>
      </c>
      <c r="E562" s="38" t="s">
        <v>1205</v>
      </c>
      <c r="F562" s="39">
        <v>26.55</v>
      </c>
      <c r="G562" s="36" t="s">
        <v>1192</v>
      </c>
      <c r="H562" s="45" t="s">
        <v>50</v>
      </c>
      <c r="I562" s="36" t="s">
        <v>36</v>
      </c>
      <c r="J562" s="36" t="s">
        <v>738</v>
      </c>
      <c r="K562" s="79"/>
    </row>
    <row r="563" spans="1:11" x14ac:dyDescent="0.2">
      <c r="A563" s="5">
        <v>260</v>
      </c>
      <c r="B563" s="6" t="s">
        <v>116</v>
      </c>
      <c r="C563" s="6" t="s">
        <v>117</v>
      </c>
      <c r="D563" s="42" t="s">
        <v>1206</v>
      </c>
      <c r="E563" s="38" t="s">
        <v>1207</v>
      </c>
      <c r="F563" s="135">
        <v>11.15</v>
      </c>
      <c r="G563" s="36" t="s">
        <v>1192</v>
      </c>
      <c r="H563" s="45" t="s">
        <v>50</v>
      </c>
      <c r="I563" s="36" t="s">
        <v>36</v>
      </c>
      <c r="J563" s="36" t="s">
        <v>738</v>
      </c>
      <c r="K563" s="79"/>
    </row>
    <row r="564" spans="1:11" x14ac:dyDescent="0.2">
      <c r="A564" s="5">
        <v>261</v>
      </c>
      <c r="B564" s="6" t="s">
        <v>116</v>
      </c>
      <c r="C564" s="6" t="s">
        <v>117</v>
      </c>
      <c r="D564" s="42" t="s">
        <v>1208</v>
      </c>
      <c r="E564" s="38" t="s">
        <v>1207</v>
      </c>
      <c r="F564" s="39">
        <v>11.25</v>
      </c>
      <c r="G564" s="36" t="s">
        <v>1192</v>
      </c>
      <c r="H564" s="45" t="s">
        <v>50</v>
      </c>
      <c r="I564" s="36" t="s">
        <v>36</v>
      </c>
      <c r="J564" s="36" t="s">
        <v>738</v>
      </c>
      <c r="K564" s="79"/>
    </row>
    <row r="565" spans="1:11" x14ac:dyDescent="0.2">
      <c r="A565" s="6">
        <v>262</v>
      </c>
      <c r="B565" s="6" t="s">
        <v>116</v>
      </c>
      <c r="C565" s="6" t="s">
        <v>117</v>
      </c>
      <c r="D565" s="42" t="s">
        <v>1209</v>
      </c>
      <c r="E565" s="38" t="s">
        <v>1180</v>
      </c>
      <c r="F565" s="39">
        <v>12.15</v>
      </c>
      <c r="G565" s="36" t="s">
        <v>1192</v>
      </c>
      <c r="H565" s="45" t="s">
        <v>50</v>
      </c>
      <c r="I565" s="36" t="s">
        <v>82</v>
      </c>
      <c r="J565" s="36" t="s">
        <v>738</v>
      </c>
      <c r="K565" s="79"/>
    </row>
    <row r="566" spans="1:11" ht="45" x14ac:dyDescent="0.2">
      <c r="A566" s="82">
        <v>171</v>
      </c>
      <c r="B566" s="83" t="s">
        <v>116</v>
      </c>
      <c r="C566" s="83" t="s">
        <v>113</v>
      </c>
      <c r="D566" s="84" t="s">
        <v>245</v>
      </c>
      <c r="E566" s="85" t="s">
        <v>246</v>
      </c>
      <c r="F566" s="86">
        <f>161.65-26.2</f>
        <v>135.45000000000002</v>
      </c>
      <c r="G566" s="104">
        <v>2610</v>
      </c>
      <c r="H566" s="45" t="s">
        <v>248</v>
      </c>
      <c r="I566" s="45" t="s">
        <v>60</v>
      </c>
      <c r="J566" s="45" t="s">
        <v>247</v>
      </c>
      <c r="K566" s="88" t="s">
        <v>61</v>
      </c>
    </row>
    <row r="567" spans="1:11" ht="30" x14ac:dyDescent="0.2">
      <c r="A567" s="82">
        <v>179</v>
      </c>
      <c r="B567" s="83" t="s">
        <v>116</v>
      </c>
      <c r="C567" s="83" t="s">
        <v>113</v>
      </c>
      <c r="D567" s="84" t="s">
        <v>256</v>
      </c>
      <c r="E567" s="85" t="s">
        <v>257</v>
      </c>
      <c r="F567" s="86">
        <v>11.6</v>
      </c>
      <c r="G567" s="104">
        <v>2610</v>
      </c>
      <c r="H567" s="45" t="s">
        <v>248</v>
      </c>
      <c r="I567" s="45" t="s">
        <v>65</v>
      </c>
      <c r="J567" s="45" t="s">
        <v>26</v>
      </c>
      <c r="K567" s="88" t="s">
        <v>61</v>
      </c>
    </row>
    <row r="568" spans="1:11" x14ac:dyDescent="0.2">
      <c r="A568" s="5">
        <v>155</v>
      </c>
      <c r="B568" s="6" t="s">
        <v>116</v>
      </c>
      <c r="C568" s="6" t="s">
        <v>113</v>
      </c>
      <c r="D568" s="42" t="s">
        <v>1210</v>
      </c>
      <c r="E568" s="38" t="s">
        <v>1211</v>
      </c>
      <c r="F568" s="126">
        <v>2.1</v>
      </c>
      <c r="G568" s="124">
        <v>2400</v>
      </c>
      <c r="H568" s="36" t="s">
        <v>642</v>
      </c>
      <c r="I568" s="36" t="s">
        <v>51</v>
      </c>
      <c r="J568" s="36" t="s">
        <v>1098</v>
      </c>
      <c r="K568" s="46"/>
    </row>
    <row r="569" spans="1:11" x14ac:dyDescent="0.2">
      <c r="A569" s="5">
        <v>156</v>
      </c>
      <c r="B569" s="6" t="s">
        <v>116</v>
      </c>
      <c r="C569" s="6" t="s">
        <v>113</v>
      </c>
      <c r="D569" s="42" t="s">
        <v>1212</v>
      </c>
      <c r="E569" s="38" t="s">
        <v>1213</v>
      </c>
      <c r="F569" s="126">
        <v>1.5</v>
      </c>
      <c r="G569" s="124">
        <v>2400</v>
      </c>
      <c r="H569" s="36" t="s">
        <v>642</v>
      </c>
      <c r="I569" s="36" t="s">
        <v>52</v>
      </c>
      <c r="J569" s="36" t="s">
        <v>1098</v>
      </c>
      <c r="K569" s="46"/>
    </row>
    <row r="570" spans="1:11" x14ac:dyDescent="0.2">
      <c r="A570" s="6">
        <v>157</v>
      </c>
      <c r="B570" s="6" t="s">
        <v>116</v>
      </c>
      <c r="C570" s="6" t="s">
        <v>113</v>
      </c>
      <c r="D570" s="42" t="s">
        <v>1214</v>
      </c>
      <c r="E570" s="38" t="s">
        <v>1215</v>
      </c>
      <c r="F570" s="43">
        <v>2.1</v>
      </c>
      <c r="G570" s="124">
        <v>2400</v>
      </c>
      <c r="H570" s="36" t="s">
        <v>1216</v>
      </c>
      <c r="I570" s="36" t="s">
        <v>52</v>
      </c>
      <c r="J570" s="36" t="s">
        <v>1098</v>
      </c>
      <c r="K570" s="46"/>
    </row>
    <row r="571" spans="1:11" x14ac:dyDescent="0.2">
      <c r="A571" s="5">
        <v>158</v>
      </c>
      <c r="B571" s="6" t="s">
        <v>116</v>
      </c>
      <c r="C571" s="6" t="s">
        <v>113</v>
      </c>
      <c r="D571" s="42" t="s">
        <v>1217</v>
      </c>
      <c r="E571" s="136" t="s">
        <v>53</v>
      </c>
      <c r="F571" s="43">
        <v>1.45</v>
      </c>
      <c r="G571" s="124">
        <v>2400</v>
      </c>
      <c r="H571" s="36" t="s">
        <v>1216</v>
      </c>
      <c r="I571" s="36" t="s">
        <v>52</v>
      </c>
      <c r="J571" s="36" t="s">
        <v>1098</v>
      </c>
      <c r="K571" s="46"/>
    </row>
    <row r="572" spans="1:11" ht="30" x14ac:dyDescent="0.2">
      <c r="A572" s="5">
        <v>173</v>
      </c>
      <c r="B572" s="6" t="s">
        <v>116</v>
      </c>
      <c r="C572" s="6" t="s">
        <v>113</v>
      </c>
      <c r="D572" s="42" t="s">
        <v>1218</v>
      </c>
      <c r="E572" s="38" t="s">
        <v>1219</v>
      </c>
      <c r="F572" s="114">
        <v>11.6</v>
      </c>
      <c r="G572" s="124">
        <v>2610</v>
      </c>
      <c r="H572" s="36" t="s">
        <v>1216</v>
      </c>
      <c r="I572" s="36" t="s">
        <v>51</v>
      </c>
      <c r="J572" s="36" t="s">
        <v>1220</v>
      </c>
      <c r="K572" s="46" t="s">
        <v>61</v>
      </c>
    </row>
    <row r="573" spans="1:11" ht="30" x14ac:dyDescent="0.2">
      <c r="A573" s="5">
        <v>174</v>
      </c>
      <c r="B573" s="6" t="s">
        <v>116</v>
      </c>
      <c r="C573" s="6" t="s">
        <v>113</v>
      </c>
      <c r="D573" s="42" t="s">
        <v>1221</v>
      </c>
      <c r="E573" s="38" t="s">
        <v>1222</v>
      </c>
      <c r="F573" s="114">
        <v>17.649999999999999</v>
      </c>
      <c r="G573" s="124">
        <v>2610</v>
      </c>
      <c r="H573" s="36" t="s">
        <v>1216</v>
      </c>
      <c r="I573" s="36" t="s">
        <v>51</v>
      </c>
      <c r="J573" s="36" t="s">
        <v>1098</v>
      </c>
      <c r="K573" s="46" t="s">
        <v>61</v>
      </c>
    </row>
    <row r="574" spans="1:11" ht="30" x14ac:dyDescent="0.2">
      <c r="A574" s="5">
        <v>177</v>
      </c>
      <c r="B574" s="6" t="s">
        <v>116</v>
      </c>
      <c r="C574" s="6" t="s">
        <v>113</v>
      </c>
      <c r="D574" s="42" t="s">
        <v>1223</v>
      </c>
      <c r="E574" s="38" t="s">
        <v>1224</v>
      </c>
      <c r="F574" s="43">
        <v>25.3</v>
      </c>
      <c r="G574" s="123">
        <v>2610</v>
      </c>
      <c r="H574" s="36" t="s">
        <v>1216</v>
      </c>
      <c r="I574" s="36" t="s">
        <v>51</v>
      </c>
      <c r="J574" s="36" t="s">
        <v>1098</v>
      </c>
      <c r="K574" s="46" t="s">
        <v>61</v>
      </c>
    </row>
    <row r="575" spans="1:11" ht="30" x14ac:dyDescent="0.2">
      <c r="A575" s="6">
        <v>178</v>
      </c>
      <c r="B575" s="6" t="s">
        <v>116</v>
      </c>
      <c r="C575" s="6" t="s">
        <v>113</v>
      </c>
      <c r="D575" s="42" t="s">
        <v>1225</v>
      </c>
      <c r="E575" s="38" t="s">
        <v>1226</v>
      </c>
      <c r="F575" s="114">
        <v>17.95</v>
      </c>
      <c r="G575" s="123">
        <v>2610</v>
      </c>
      <c r="H575" s="36" t="s">
        <v>1216</v>
      </c>
      <c r="I575" s="36" t="s">
        <v>51</v>
      </c>
      <c r="J575" s="36" t="s">
        <v>1112</v>
      </c>
      <c r="K575" s="46" t="s">
        <v>61</v>
      </c>
    </row>
    <row r="576" spans="1:11" ht="30" x14ac:dyDescent="0.2">
      <c r="A576" s="6">
        <v>190</v>
      </c>
      <c r="B576" s="6" t="s">
        <v>116</v>
      </c>
      <c r="C576" s="6" t="s">
        <v>113</v>
      </c>
      <c r="D576" s="42" t="s">
        <v>1227</v>
      </c>
      <c r="E576" s="38" t="s">
        <v>1228</v>
      </c>
      <c r="F576" s="43">
        <v>9.4</v>
      </c>
      <c r="G576" s="123">
        <v>2610</v>
      </c>
      <c r="H576" s="36" t="s">
        <v>642</v>
      </c>
      <c r="I576" s="36" t="s">
        <v>51</v>
      </c>
      <c r="J576" s="36" t="s">
        <v>1112</v>
      </c>
      <c r="K576" s="46" t="s">
        <v>61</v>
      </c>
    </row>
    <row r="577" spans="1:11" ht="30" x14ac:dyDescent="0.2">
      <c r="A577" s="5">
        <v>191</v>
      </c>
      <c r="B577" s="6" t="s">
        <v>116</v>
      </c>
      <c r="C577" s="6" t="s">
        <v>113</v>
      </c>
      <c r="D577" s="42" t="s">
        <v>1229</v>
      </c>
      <c r="E577" s="38" t="s">
        <v>1230</v>
      </c>
      <c r="F577" s="114">
        <v>16</v>
      </c>
      <c r="G577" s="124">
        <v>2610</v>
      </c>
      <c r="H577" s="36" t="s">
        <v>642</v>
      </c>
      <c r="I577" s="36" t="s">
        <v>51</v>
      </c>
      <c r="J577" s="36" t="s">
        <v>1112</v>
      </c>
      <c r="K577" s="46" t="s">
        <v>61</v>
      </c>
    </row>
    <row r="578" spans="1:11" ht="30" x14ac:dyDescent="0.2">
      <c r="A578" s="5">
        <v>192</v>
      </c>
      <c r="B578" s="6" t="s">
        <v>116</v>
      </c>
      <c r="C578" s="6" t="s">
        <v>113</v>
      </c>
      <c r="D578" s="42" t="s">
        <v>1231</v>
      </c>
      <c r="E578" s="38" t="s">
        <v>1232</v>
      </c>
      <c r="F578" s="126">
        <v>30.3</v>
      </c>
      <c r="G578" s="123">
        <v>2610</v>
      </c>
      <c r="H578" s="36" t="s">
        <v>642</v>
      </c>
      <c r="I578" s="36" t="s">
        <v>51</v>
      </c>
      <c r="J578" s="36" t="s">
        <v>1233</v>
      </c>
      <c r="K578" s="46" t="s">
        <v>61</v>
      </c>
    </row>
    <row r="579" spans="1:11" ht="30" x14ac:dyDescent="0.2">
      <c r="A579" s="6">
        <v>241</v>
      </c>
      <c r="B579" s="6" t="s">
        <v>116</v>
      </c>
      <c r="C579" s="6" t="s">
        <v>117</v>
      </c>
      <c r="D579" s="42" t="s">
        <v>1234</v>
      </c>
      <c r="E579" s="38" t="s">
        <v>1235</v>
      </c>
      <c r="F579" s="39">
        <v>34.6</v>
      </c>
      <c r="G579" s="40" t="s">
        <v>9</v>
      </c>
      <c r="H579" s="36" t="s">
        <v>1236</v>
      </c>
      <c r="I579" s="36" t="s">
        <v>75</v>
      </c>
      <c r="J579" s="76"/>
      <c r="K579" s="44"/>
    </row>
    <row r="580" spans="1:11" ht="30" x14ac:dyDescent="0.2">
      <c r="A580" s="5">
        <v>242</v>
      </c>
      <c r="B580" s="6" t="s">
        <v>116</v>
      </c>
      <c r="C580" s="6" t="s">
        <v>117</v>
      </c>
      <c r="D580" s="42" t="s">
        <v>1237</v>
      </c>
      <c r="E580" s="38" t="s">
        <v>1235</v>
      </c>
      <c r="F580" s="39">
        <v>86.85</v>
      </c>
      <c r="G580" s="40" t="s">
        <v>9</v>
      </c>
      <c r="H580" s="36" t="s">
        <v>1236</v>
      </c>
      <c r="I580" s="36" t="s">
        <v>76</v>
      </c>
      <c r="J580" s="76"/>
      <c r="K580" s="44"/>
    </row>
    <row r="581" spans="1:11" ht="30" x14ac:dyDescent="0.2">
      <c r="A581" s="5">
        <v>402</v>
      </c>
      <c r="B581" s="6" t="s">
        <v>119</v>
      </c>
      <c r="C581" s="6" t="s">
        <v>112</v>
      </c>
      <c r="D581" s="42" t="s">
        <v>1238</v>
      </c>
      <c r="E581" s="38" t="s">
        <v>1239</v>
      </c>
      <c r="F581" s="39">
        <v>27</v>
      </c>
      <c r="G581" s="78">
        <v>2910</v>
      </c>
      <c r="H581" s="36" t="s">
        <v>1240</v>
      </c>
      <c r="I581" s="36" t="s">
        <v>92</v>
      </c>
      <c r="J581" s="36" t="s">
        <v>671</v>
      </c>
      <c r="K581" s="46" t="s">
        <v>105</v>
      </c>
    </row>
    <row r="582" spans="1:11" ht="30" x14ac:dyDescent="0.2">
      <c r="A582" s="5">
        <v>441</v>
      </c>
      <c r="B582" s="6" t="s">
        <v>119</v>
      </c>
      <c r="C582" s="6" t="s">
        <v>113</v>
      </c>
      <c r="D582" s="42" t="s">
        <v>1241</v>
      </c>
      <c r="E582" s="38" t="s">
        <v>1242</v>
      </c>
      <c r="F582" s="52">
        <v>27.8</v>
      </c>
      <c r="G582" s="63">
        <v>2910</v>
      </c>
      <c r="H582" s="36" t="s">
        <v>1243</v>
      </c>
      <c r="I582" s="36" t="s">
        <v>92</v>
      </c>
      <c r="J582" s="36" t="s">
        <v>677</v>
      </c>
      <c r="K582" s="46" t="s">
        <v>107</v>
      </c>
    </row>
    <row r="583" spans="1:11" ht="30" x14ac:dyDescent="0.2">
      <c r="A583" s="5">
        <v>522</v>
      </c>
      <c r="B583" s="6" t="s">
        <v>120</v>
      </c>
      <c r="C583" s="6" t="s">
        <v>112</v>
      </c>
      <c r="D583" s="42" t="s">
        <v>1244</v>
      </c>
      <c r="E583" s="38" t="s">
        <v>1242</v>
      </c>
      <c r="F583" s="49">
        <v>27</v>
      </c>
      <c r="G583" s="63">
        <v>2910</v>
      </c>
      <c r="H583" s="137" t="s">
        <v>110</v>
      </c>
      <c r="I583" s="36" t="s">
        <v>92</v>
      </c>
      <c r="J583" s="36" t="s">
        <v>677</v>
      </c>
      <c r="K583" s="101" t="s">
        <v>107</v>
      </c>
    </row>
    <row r="584" spans="1:11" ht="30" x14ac:dyDescent="0.2">
      <c r="A584" s="5">
        <v>561</v>
      </c>
      <c r="B584" s="6" t="s">
        <v>120</v>
      </c>
      <c r="C584" s="6" t="s">
        <v>113</v>
      </c>
      <c r="D584" s="42" t="s">
        <v>1245</v>
      </c>
      <c r="E584" s="38" t="s">
        <v>1242</v>
      </c>
      <c r="F584" s="49">
        <v>27.15</v>
      </c>
      <c r="G584" s="63">
        <v>2910</v>
      </c>
      <c r="H584" s="36" t="s">
        <v>1246</v>
      </c>
      <c r="I584" s="36" t="s">
        <v>92</v>
      </c>
      <c r="J584" s="36" t="s">
        <v>677</v>
      </c>
      <c r="K584" s="46" t="s">
        <v>107</v>
      </c>
    </row>
    <row r="585" spans="1:11" ht="30" x14ac:dyDescent="0.2">
      <c r="A585" s="5">
        <v>600</v>
      </c>
      <c r="B585" s="6" t="s">
        <v>120</v>
      </c>
      <c r="C585" s="6" t="s">
        <v>114</v>
      </c>
      <c r="D585" s="42" t="s">
        <v>1247</v>
      </c>
      <c r="E585" s="38" t="s">
        <v>1242</v>
      </c>
      <c r="F585" s="49">
        <v>27.15</v>
      </c>
      <c r="G585" s="63">
        <v>2910</v>
      </c>
      <c r="H585" s="137" t="s">
        <v>110</v>
      </c>
      <c r="I585" s="36" t="s">
        <v>92</v>
      </c>
      <c r="J585" s="36" t="s">
        <v>1248</v>
      </c>
      <c r="K585" s="46" t="s">
        <v>107</v>
      </c>
    </row>
    <row r="586" spans="1:11" ht="75" x14ac:dyDescent="0.2">
      <c r="A586" s="5">
        <v>333</v>
      </c>
      <c r="B586" s="6" t="s">
        <v>118</v>
      </c>
      <c r="C586" s="6" t="s">
        <v>113</v>
      </c>
      <c r="D586" s="64" t="s">
        <v>1249</v>
      </c>
      <c r="E586" s="65" t="s">
        <v>1242</v>
      </c>
      <c r="F586" s="66">
        <v>28.4</v>
      </c>
      <c r="G586" s="67">
        <v>2910</v>
      </c>
      <c r="H586" s="138" t="s">
        <v>99</v>
      </c>
      <c r="I586" s="53" t="s">
        <v>92</v>
      </c>
      <c r="J586" s="53" t="s">
        <v>677</v>
      </c>
      <c r="K586" s="139" t="s">
        <v>100</v>
      </c>
    </row>
    <row r="587" spans="1:11" ht="45" x14ac:dyDescent="0.2">
      <c r="A587" s="5">
        <v>294</v>
      </c>
      <c r="B587" s="6" t="s">
        <v>118</v>
      </c>
      <c r="C587" s="6" t="s">
        <v>112</v>
      </c>
      <c r="D587" s="42" t="s">
        <v>1250</v>
      </c>
      <c r="E587" s="38" t="s">
        <v>1242</v>
      </c>
      <c r="F587" s="49">
        <v>27.6</v>
      </c>
      <c r="G587" s="63">
        <v>2910</v>
      </c>
      <c r="H587" s="137" t="s">
        <v>93</v>
      </c>
      <c r="I587" s="36" t="s">
        <v>92</v>
      </c>
      <c r="J587" s="36" t="s">
        <v>677</v>
      </c>
      <c r="K587" s="46"/>
    </row>
    <row r="588" spans="1:11" x14ac:dyDescent="0.2">
      <c r="A588" s="5">
        <v>401</v>
      </c>
      <c r="B588" s="6" t="s">
        <v>119</v>
      </c>
      <c r="C588" s="6" t="s">
        <v>112</v>
      </c>
      <c r="D588" s="42" t="s">
        <v>1251</v>
      </c>
      <c r="E588" s="38" t="s">
        <v>669</v>
      </c>
      <c r="F588" s="39">
        <v>21.5</v>
      </c>
      <c r="G588" s="78">
        <v>2910</v>
      </c>
      <c r="H588" s="36" t="s">
        <v>1252</v>
      </c>
      <c r="I588" s="36" t="s">
        <v>92</v>
      </c>
      <c r="J588" s="36" t="s">
        <v>671</v>
      </c>
      <c r="K588" s="46"/>
    </row>
    <row r="589" spans="1:11" x14ac:dyDescent="0.2">
      <c r="A589" s="5">
        <v>440</v>
      </c>
      <c r="B589" s="6" t="s">
        <v>119</v>
      </c>
      <c r="C589" s="6" t="s">
        <v>113</v>
      </c>
      <c r="D589" s="42" t="s">
        <v>1253</v>
      </c>
      <c r="E589" s="38" t="s">
        <v>1254</v>
      </c>
      <c r="F589" s="52">
        <v>22.45</v>
      </c>
      <c r="G589" s="63">
        <v>2910</v>
      </c>
      <c r="H589" s="36" t="s">
        <v>1255</v>
      </c>
      <c r="I589" s="36" t="s">
        <v>92</v>
      </c>
      <c r="J589" s="36" t="s">
        <v>677</v>
      </c>
      <c r="K589" s="46"/>
    </row>
    <row r="590" spans="1:11" x14ac:dyDescent="0.2">
      <c r="A590" s="5">
        <v>480</v>
      </c>
      <c r="B590" s="6" t="s">
        <v>119</v>
      </c>
      <c r="C590" s="6" t="s">
        <v>114</v>
      </c>
      <c r="D590" s="42" t="s">
        <v>1256</v>
      </c>
      <c r="E590" s="38" t="s">
        <v>1254</v>
      </c>
      <c r="F590" s="49">
        <v>21.5</v>
      </c>
      <c r="G590" s="63">
        <v>2910</v>
      </c>
      <c r="H590" s="36" t="s">
        <v>1255</v>
      </c>
      <c r="I590" s="36" t="s">
        <v>92</v>
      </c>
      <c r="J590" s="36" t="s">
        <v>677</v>
      </c>
      <c r="K590" s="46"/>
    </row>
    <row r="591" spans="1:11" x14ac:dyDescent="0.2">
      <c r="A591" s="5">
        <v>521</v>
      </c>
      <c r="B591" s="6" t="s">
        <v>120</v>
      </c>
      <c r="C591" s="6" t="s">
        <v>112</v>
      </c>
      <c r="D591" s="42" t="s">
        <v>1257</v>
      </c>
      <c r="E591" s="38" t="s">
        <v>1254</v>
      </c>
      <c r="F591" s="49">
        <v>21.5</v>
      </c>
      <c r="G591" s="63">
        <v>2910</v>
      </c>
      <c r="H591" s="36" t="s">
        <v>1255</v>
      </c>
      <c r="I591" s="36" t="s">
        <v>92</v>
      </c>
      <c r="J591" s="36" t="s">
        <v>677</v>
      </c>
      <c r="K591" s="101"/>
    </row>
    <row r="592" spans="1:11" x14ac:dyDescent="0.2">
      <c r="A592" s="5">
        <v>560</v>
      </c>
      <c r="B592" s="6" t="s">
        <v>120</v>
      </c>
      <c r="C592" s="6" t="s">
        <v>113</v>
      </c>
      <c r="D592" s="42" t="s">
        <v>1258</v>
      </c>
      <c r="E592" s="38" t="s">
        <v>1254</v>
      </c>
      <c r="F592" s="49">
        <v>22.45</v>
      </c>
      <c r="G592" s="63">
        <v>2910</v>
      </c>
      <c r="H592" s="36" t="s">
        <v>1255</v>
      </c>
      <c r="I592" s="36" t="s">
        <v>92</v>
      </c>
      <c r="J592" s="36" t="s">
        <v>677</v>
      </c>
      <c r="K592" s="46"/>
    </row>
    <row r="593" spans="1:11" x14ac:dyDescent="0.2">
      <c r="A593" s="5">
        <v>599</v>
      </c>
      <c r="B593" s="6" t="s">
        <v>120</v>
      </c>
      <c r="C593" s="6" t="s">
        <v>114</v>
      </c>
      <c r="D593" s="42" t="s">
        <v>1259</v>
      </c>
      <c r="E593" s="38" t="s">
        <v>1254</v>
      </c>
      <c r="F593" s="49">
        <v>21.5</v>
      </c>
      <c r="G593" s="63">
        <v>2910</v>
      </c>
      <c r="H593" s="36" t="s">
        <v>1255</v>
      </c>
      <c r="I593" s="36" t="s">
        <v>92</v>
      </c>
      <c r="J593" s="36" t="s">
        <v>677</v>
      </c>
      <c r="K593" s="46"/>
    </row>
    <row r="594" spans="1:11" x14ac:dyDescent="0.2">
      <c r="A594" s="5">
        <v>243</v>
      </c>
      <c r="B594" s="6" t="s">
        <v>116</v>
      </c>
      <c r="C594" s="6" t="s">
        <v>117</v>
      </c>
      <c r="D594" s="42" t="s">
        <v>1260</v>
      </c>
      <c r="E594" s="38" t="s">
        <v>1261</v>
      </c>
      <c r="F594" s="39">
        <v>49</v>
      </c>
      <c r="G594" s="40" t="s">
        <v>9</v>
      </c>
      <c r="H594" s="36" t="s">
        <v>1262</v>
      </c>
      <c r="I594" s="36" t="s">
        <v>75</v>
      </c>
      <c r="J594" s="76"/>
      <c r="K594" s="44"/>
    </row>
    <row r="595" spans="1:11" x14ac:dyDescent="0.2">
      <c r="A595" s="5">
        <v>293</v>
      </c>
      <c r="B595" s="6" t="s">
        <v>118</v>
      </c>
      <c r="C595" s="6" t="s">
        <v>112</v>
      </c>
      <c r="D595" s="42" t="s">
        <v>1263</v>
      </c>
      <c r="E595" s="38" t="s">
        <v>1254</v>
      </c>
      <c r="F595" s="50">
        <v>47.7</v>
      </c>
      <c r="G595" s="36">
        <v>2910</v>
      </c>
      <c r="H595" s="36" t="s">
        <v>1264</v>
      </c>
      <c r="I595" s="36" t="s">
        <v>92</v>
      </c>
      <c r="J595" s="36" t="s">
        <v>677</v>
      </c>
      <c r="K595" s="46"/>
    </row>
    <row r="596" spans="1:11" x14ac:dyDescent="0.2">
      <c r="A596" s="5">
        <v>332</v>
      </c>
      <c r="B596" s="6" t="s">
        <v>118</v>
      </c>
      <c r="C596" s="6" t="s">
        <v>113</v>
      </c>
      <c r="D596" s="42" t="s">
        <v>1265</v>
      </c>
      <c r="E596" s="38" t="s">
        <v>1254</v>
      </c>
      <c r="F596" s="50">
        <v>49.85</v>
      </c>
      <c r="G596" s="63">
        <v>2910</v>
      </c>
      <c r="H596" s="36" t="s">
        <v>1266</v>
      </c>
      <c r="I596" s="36" t="s">
        <v>92</v>
      </c>
      <c r="J596" s="36" t="s">
        <v>677</v>
      </c>
      <c r="K596" s="101"/>
    </row>
    <row r="597" spans="1:11" ht="45" x14ac:dyDescent="0.2">
      <c r="A597" s="6">
        <v>481</v>
      </c>
      <c r="B597" s="6" t="s">
        <v>119</v>
      </c>
      <c r="C597" s="6" t="s">
        <v>114</v>
      </c>
      <c r="D597" s="42" t="s">
        <v>1267</v>
      </c>
      <c r="E597" s="38" t="s">
        <v>1242</v>
      </c>
      <c r="F597" s="49">
        <v>28.45</v>
      </c>
      <c r="G597" s="63">
        <v>2910</v>
      </c>
      <c r="H597" s="36" t="s">
        <v>1268</v>
      </c>
      <c r="I597" s="36" t="s">
        <v>92</v>
      </c>
      <c r="J597" s="36" t="s">
        <v>677</v>
      </c>
      <c r="K597" s="46"/>
    </row>
    <row r="598" spans="1:11" x14ac:dyDescent="0.2">
      <c r="A598" s="6">
        <v>4</v>
      </c>
      <c r="B598" s="6" t="s">
        <v>111</v>
      </c>
      <c r="C598" s="6" t="s">
        <v>112</v>
      </c>
      <c r="D598" s="140"/>
      <c r="E598" s="38" t="s">
        <v>1269</v>
      </c>
      <c r="F598" s="141"/>
      <c r="G598" s="40"/>
      <c r="H598" s="40"/>
      <c r="I598" s="40"/>
      <c r="J598" s="40"/>
      <c r="K598" s="44"/>
    </row>
    <row r="599" spans="1:11" x14ac:dyDescent="0.2">
      <c r="A599" s="5">
        <v>5</v>
      </c>
      <c r="B599" s="6" t="s">
        <v>111</v>
      </c>
      <c r="C599" s="6" t="s">
        <v>112</v>
      </c>
      <c r="D599" s="140"/>
      <c r="E599" s="38" t="s">
        <v>1270</v>
      </c>
      <c r="F599" s="141"/>
      <c r="G599" s="40"/>
      <c r="H599" s="40"/>
      <c r="I599" s="40"/>
      <c r="J599" s="40"/>
      <c r="K599" s="44"/>
    </row>
    <row r="600" spans="1:11" x14ac:dyDescent="0.2">
      <c r="A600" s="5">
        <v>24</v>
      </c>
      <c r="B600" s="6" t="s">
        <v>111</v>
      </c>
      <c r="C600" s="6" t="s">
        <v>112</v>
      </c>
      <c r="D600" s="42" t="s">
        <v>1271</v>
      </c>
      <c r="E600" s="38" t="s">
        <v>1272</v>
      </c>
      <c r="F600" s="49">
        <v>84.85</v>
      </c>
      <c r="G600" s="40" t="s">
        <v>9</v>
      </c>
      <c r="H600" s="40"/>
      <c r="I600" s="40"/>
      <c r="J600" s="40" t="s">
        <v>9</v>
      </c>
      <c r="K600" s="44"/>
    </row>
    <row r="601" spans="1:11" x14ac:dyDescent="0.2">
      <c r="A601" s="5">
        <v>48</v>
      </c>
      <c r="B601" s="6" t="s">
        <v>111</v>
      </c>
      <c r="C601" s="6" t="s">
        <v>113</v>
      </c>
      <c r="D601" s="140"/>
      <c r="E601" s="38" t="s">
        <v>1273</v>
      </c>
      <c r="F601" s="141"/>
      <c r="G601" s="40"/>
      <c r="H601" s="76"/>
      <c r="I601" s="76"/>
      <c r="J601" s="40"/>
      <c r="K601" s="44"/>
    </row>
    <row r="602" spans="1:11" x14ac:dyDescent="0.2">
      <c r="A602" s="6">
        <v>49</v>
      </c>
      <c r="B602" s="6" t="s">
        <v>111</v>
      </c>
      <c r="C602" s="6" t="s">
        <v>113</v>
      </c>
      <c r="D602" s="140"/>
      <c r="E602" s="38" t="s">
        <v>1270</v>
      </c>
      <c r="F602" s="141"/>
      <c r="G602" s="40"/>
      <c r="H602" s="76"/>
      <c r="I602" s="76"/>
      <c r="J602" s="40"/>
      <c r="K602" s="44"/>
    </row>
    <row r="603" spans="1:11" x14ac:dyDescent="0.2">
      <c r="A603" s="5">
        <v>78</v>
      </c>
      <c r="B603" s="6" t="s">
        <v>111</v>
      </c>
      <c r="C603" s="6" t="s">
        <v>114</v>
      </c>
      <c r="D603" s="140"/>
      <c r="E603" s="38" t="s">
        <v>1274</v>
      </c>
      <c r="F603" s="141"/>
      <c r="G603" s="40"/>
      <c r="H603" s="40"/>
      <c r="I603" s="40"/>
      <c r="J603" s="40"/>
      <c r="K603" s="44"/>
    </row>
    <row r="604" spans="1:11" x14ac:dyDescent="0.2">
      <c r="A604" s="6">
        <v>79</v>
      </c>
      <c r="B604" s="6" t="s">
        <v>111</v>
      </c>
      <c r="C604" s="6" t="s">
        <v>114</v>
      </c>
      <c r="D604" s="140"/>
      <c r="E604" s="38" t="s">
        <v>1270</v>
      </c>
      <c r="F604" s="141"/>
      <c r="G604" s="40"/>
      <c r="H604" s="40"/>
      <c r="I604" s="40"/>
      <c r="J604" s="40"/>
      <c r="K604" s="44"/>
    </row>
    <row r="605" spans="1:11" x14ac:dyDescent="0.2">
      <c r="A605" s="5">
        <v>107</v>
      </c>
      <c r="B605" s="6" t="s">
        <v>116</v>
      </c>
      <c r="C605" s="6" t="s">
        <v>112</v>
      </c>
      <c r="D605" s="142"/>
      <c r="E605" s="38" t="s">
        <v>1275</v>
      </c>
      <c r="F605" s="141"/>
      <c r="G605" s="40"/>
      <c r="H605" s="40"/>
      <c r="I605" s="76"/>
      <c r="J605" s="40"/>
      <c r="K605" s="41"/>
    </row>
    <row r="606" spans="1:11" x14ac:dyDescent="0.2">
      <c r="A606" s="5">
        <v>108</v>
      </c>
      <c r="B606" s="6" t="s">
        <v>116</v>
      </c>
      <c r="C606" s="6" t="s">
        <v>112</v>
      </c>
      <c r="D606" s="142"/>
      <c r="E606" s="38" t="s">
        <v>1276</v>
      </c>
      <c r="F606" s="141"/>
      <c r="G606" s="40"/>
      <c r="H606" s="40"/>
      <c r="I606" s="76"/>
      <c r="J606" s="40"/>
      <c r="K606" s="41"/>
    </row>
    <row r="607" spans="1:11" x14ac:dyDescent="0.2">
      <c r="A607" s="5">
        <v>140</v>
      </c>
      <c r="B607" s="6" t="s">
        <v>116</v>
      </c>
      <c r="C607" s="6" t="s">
        <v>112</v>
      </c>
      <c r="D607" s="37" t="s">
        <v>1277</v>
      </c>
      <c r="E607" s="38" t="s">
        <v>1278</v>
      </c>
      <c r="F607" s="39">
        <v>41.8</v>
      </c>
      <c r="G607" s="40"/>
      <c r="H607" s="40"/>
      <c r="I607" s="40"/>
      <c r="J607" s="40"/>
      <c r="K607" s="41"/>
    </row>
    <row r="608" spans="1:11" x14ac:dyDescent="0.2">
      <c r="A608" s="5">
        <v>146</v>
      </c>
      <c r="B608" s="6" t="s">
        <v>116</v>
      </c>
      <c r="C608" s="6" t="s">
        <v>113</v>
      </c>
      <c r="D608" s="140"/>
      <c r="E608" s="38" t="s">
        <v>1279</v>
      </c>
      <c r="F608" s="141"/>
      <c r="G608" s="40"/>
      <c r="H608" s="40"/>
      <c r="I608" s="40"/>
      <c r="J608" s="40"/>
      <c r="K608" s="44"/>
    </row>
    <row r="609" spans="1:11" x14ac:dyDescent="0.2">
      <c r="A609" s="5">
        <v>147</v>
      </c>
      <c r="B609" s="6" t="s">
        <v>116</v>
      </c>
      <c r="C609" s="6" t="s">
        <v>113</v>
      </c>
      <c r="D609" s="140"/>
      <c r="E609" s="38" t="s">
        <v>1280</v>
      </c>
      <c r="F609" s="141"/>
      <c r="G609" s="40"/>
      <c r="H609" s="40"/>
      <c r="I609" s="40"/>
      <c r="J609" s="40"/>
      <c r="K609" s="44"/>
    </row>
    <row r="610" spans="1:11" x14ac:dyDescent="0.2">
      <c r="A610" s="6">
        <v>211</v>
      </c>
      <c r="B610" s="6" t="s">
        <v>116</v>
      </c>
      <c r="C610" s="6" t="s">
        <v>114</v>
      </c>
      <c r="D610" s="140"/>
      <c r="E610" s="38" t="s">
        <v>1281</v>
      </c>
      <c r="F610" s="141"/>
      <c r="G610" s="40"/>
      <c r="H610" s="40"/>
      <c r="I610" s="40"/>
      <c r="J610" s="40"/>
      <c r="K610" s="44"/>
    </row>
    <row r="611" spans="1:11" x14ac:dyDescent="0.2">
      <c r="A611" s="5">
        <v>212</v>
      </c>
      <c r="B611" s="6" t="s">
        <v>116</v>
      </c>
      <c r="C611" s="6" t="s">
        <v>114</v>
      </c>
      <c r="D611" s="140"/>
      <c r="E611" s="38" t="s">
        <v>1276</v>
      </c>
      <c r="F611" s="141"/>
      <c r="G611" s="40"/>
      <c r="H611" s="40"/>
      <c r="I611" s="40"/>
      <c r="J611" s="40"/>
      <c r="K611" s="44"/>
    </row>
    <row r="612" spans="1:11" x14ac:dyDescent="0.2">
      <c r="A612" s="6">
        <v>232</v>
      </c>
      <c r="B612" s="6" t="s">
        <v>116</v>
      </c>
      <c r="C612" s="6" t="s">
        <v>114</v>
      </c>
      <c r="D612" s="140"/>
      <c r="E612" s="38" t="s">
        <v>1282</v>
      </c>
      <c r="F612" s="141"/>
      <c r="G612" s="40"/>
      <c r="H612" s="76"/>
      <c r="I612" s="76"/>
      <c r="J612" s="76"/>
      <c r="K612" s="44"/>
    </row>
    <row r="613" spans="1:11" x14ac:dyDescent="0.2">
      <c r="A613" s="5">
        <v>233</v>
      </c>
      <c r="B613" s="6" t="s">
        <v>116</v>
      </c>
      <c r="C613" s="6" t="s">
        <v>114</v>
      </c>
      <c r="D613" s="140"/>
      <c r="E613" s="38" t="s">
        <v>1276</v>
      </c>
      <c r="F613" s="141"/>
      <c r="G613" s="40"/>
      <c r="H613" s="76"/>
      <c r="I613" s="76"/>
      <c r="J613" s="76"/>
      <c r="K613" s="44"/>
    </row>
    <row r="614" spans="1:11" x14ac:dyDescent="0.2">
      <c r="A614" s="6">
        <v>271</v>
      </c>
      <c r="B614" s="6" t="s">
        <v>118</v>
      </c>
      <c r="C614" s="6" t="s">
        <v>112</v>
      </c>
      <c r="D614" s="140"/>
      <c r="E614" s="38" t="s">
        <v>1269</v>
      </c>
      <c r="F614" s="141"/>
      <c r="G614" s="40"/>
      <c r="H614" s="40"/>
      <c r="I614" s="40"/>
      <c r="J614" s="40"/>
      <c r="K614" s="44"/>
    </row>
    <row r="615" spans="1:11" x14ac:dyDescent="0.2">
      <c r="A615" s="5">
        <v>272</v>
      </c>
      <c r="B615" s="6" t="s">
        <v>118</v>
      </c>
      <c r="C615" s="6" t="s">
        <v>112</v>
      </c>
      <c r="D615" s="140"/>
      <c r="E615" s="38" t="s">
        <v>1270</v>
      </c>
      <c r="F615" s="141"/>
      <c r="G615" s="40"/>
      <c r="H615" s="40"/>
      <c r="I615" s="40"/>
      <c r="J615" s="40"/>
      <c r="K615" s="44"/>
    </row>
    <row r="616" spans="1:11" x14ac:dyDescent="0.2">
      <c r="A616" s="5">
        <v>287</v>
      </c>
      <c r="B616" s="6" t="s">
        <v>118</v>
      </c>
      <c r="C616" s="6" t="s">
        <v>112</v>
      </c>
      <c r="D616" s="42" t="s">
        <v>1283</v>
      </c>
      <c r="E616" s="38" t="s">
        <v>1284</v>
      </c>
      <c r="F616" s="141"/>
      <c r="G616" s="40"/>
      <c r="H616" s="40"/>
      <c r="I616" s="40"/>
      <c r="J616" s="40"/>
      <c r="K616" s="44"/>
    </row>
    <row r="617" spans="1:11" x14ac:dyDescent="0.2">
      <c r="A617" s="5">
        <v>288</v>
      </c>
      <c r="B617" s="6" t="s">
        <v>118</v>
      </c>
      <c r="C617" s="6" t="s">
        <v>112</v>
      </c>
      <c r="D617" s="42" t="s">
        <v>1285</v>
      </c>
      <c r="E617" s="38" t="s">
        <v>1284</v>
      </c>
      <c r="F617" s="141"/>
      <c r="G617" s="40"/>
      <c r="H617" s="40"/>
      <c r="I617" s="40"/>
      <c r="J617" s="40"/>
      <c r="K617" s="44"/>
    </row>
    <row r="618" spans="1:11" x14ac:dyDescent="0.2">
      <c r="A618" s="6">
        <v>295</v>
      </c>
      <c r="B618" s="6" t="s">
        <v>118</v>
      </c>
      <c r="C618" s="6" t="s">
        <v>112</v>
      </c>
      <c r="D618" s="140"/>
      <c r="E618" s="38" t="s">
        <v>1286</v>
      </c>
      <c r="F618" s="141"/>
      <c r="G618" s="40"/>
      <c r="H618" s="40"/>
      <c r="I618" s="40"/>
      <c r="J618" s="40"/>
      <c r="K618" s="44"/>
    </row>
    <row r="619" spans="1:11" x14ac:dyDescent="0.2">
      <c r="A619" s="6">
        <v>310</v>
      </c>
      <c r="B619" s="6" t="s">
        <v>118</v>
      </c>
      <c r="C619" s="6" t="s">
        <v>113</v>
      </c>
      <c r="D619" s="140"/>
      <c r="E619" s="38" t="s">
        <v>1273</v>
      </c>
      <c r="F619" s="141"/>
      <c r="G619" s="40"/>
      <c r="H619" s="40"/>
      <c r="I619" s="40"/>
      <c r="J619" s="40"/>
      <c r="K619" s="51"/>
    </row>
    <row r="620" spans="1:11" x14ac:dyDescent="0.2">
      <c r="A620" s="5">
        <v>311</v>
      </c>
      <c r="B620" s="6" t="s">
        <v>118</v>
      </c>
      <c r="C620" s="6" t="s">
        <v>113</v>
      </c>
      <c r="D620" s="143"/>
      <c r="E620" s="65" t="s">
        <v>1270</v>
      </c>
      <c r="F620" s="144"/>
      <c r="G620" s="113"/>
      <c r="H620" s="113"/>
      <c r="I620" s="113"/>
      <c r="J620" s="113"/>
      <c r="K620" s="145"/>
    </row>
    <row r="621" spans="1:11" x14ac:dyDescent="0.2">
      <c r="A621" s="5">
        <v>326</v>
      </c>
      <c r="B621" s="6" t="s">
        <v>118</v>
      </c>
      <c r="C621" s="6" t="s">
        <v>113</v>
      </c>
      <c r="D621" s="42" t="s">
        <v>1287</v>
      </c>
      <c r="E621" s="38" t="s">
        <v>1284</v>
      </c>
      <c r="F621" s="141"/>
      <c r="G621" s="40"/>
      <c r="H621" s="40"/>
      <c r="I621" s="40"/>
      <c r="J621" s="40"/>
      <c r="K621" s="51"/>
    </row>
    <row r="622" spans="1:11" x14ac:dyDescent="0.2">
      <c r="A622" s="5">
        <v>327</v>
      </c>
      <c r="B622" s="6" t="s">
        <v>118</v>
      </c>
      <c r="C622" s="6" t="s">
        <v>113</v>
      </c>
      <c r="D622" s="42" t="s">
        <v>1288</v>
      </c>
      <c r="E622" s="38" t="s">
        <v>1284</v>
      </c>
      <c r="F622" s="141"/>
      <c r="G622" s="40"/>
      <c r="H622" s="40"/>
      <c r="I622" s="40"/>
      <c r="J622" s="40"/>
      <c r="K622" s="51"/>
    </row>
    <row r="623" spans="1:11" x14ac:dyDescent="0.2">
      <c r="A623" s="6">
        <v>334</v>
      </c>
      <c r="B623" s="6" t="s">
        <v>118</v>
      </c>
      <c r="C623" s="6" t="s">
        <v>113</v>
      </c>
      <c r="D623" s="140"/>
      <c r="E623" s="38" t="s">
        <v>1286</v>
      </c>
      <c r="F623" s="141"/>
      <c r="G623" s="40"/>
      <c r="H623" s="40"/>
      <c r="I623" s="40"/>
      <c r="J623" s="40"/>
      <c r="K623" s="51"/>
    </row>
    <row r="624" spans="1:11" x14ac:dyDescent="0.2">
      <c r="A624" s="6">
        <v>349</v>
      </c>
      <c r="B624" s="6" t="s">
        <v>118</v>
      </c>
      <c r="C624" s="6" t="s">
        <v>114</v>
      </c>
      <c r="D624" s="140"/>
      <c r="E624" s="38" t="s">
        <v>1281</v>
      </c>
      <c r="F624" s="141"/>
      <c r="G624" s="40"/>
      <c r="H624" s="40"/>
      <c r="I624" s="40"/>
      <c r="J624" s="40"/>
      <c r="K624" s="44"/>
    </row>
    <row r="625" spans="1:11" x14ac:dyDescent="0.2">
      <c r="A625" s="5">
        <v>350</v>
      </c>
      <c r="B625" s="6" t="s">
        <v>118</v>
      </c>
      <c r="C625" s="6" t="s">
        <v>114</v>
      </c>
      <c r="D625" s="140"/>
      <c r="E625" s="38" t="s">
        <v>1276</v>
      </c>
      <c r="F625" s="141"/>
      <c r="G625" s="40"/>
      <c r="H625" s="40"/>
      <c r="I625" s="40"/>
      <c r="J625" s="40"/>
      <c r="K625" s="44"/>
    </row>
    <row r="626" spans="1:11" x14ac:dyDescent="0.2">
      <c r="A626" s="6">
        <v>364</v>
      </c>
      <c r="B626" s="6" t="s">
        <v>118</v>
      </c>
      <c r="C626" s="6" t="s">
        <v>114</v>
      </c>
      <c r="D626" s="42" t="s">
        <v>1289</v>
      </c>
      <c r="E626" s="38" t="s">
        <v>1290</v>
      </c>
      <c r="F626" s="141"/>
      <c r="G626" s="40"/>
      <c r="H626" s="40"/>
      <c r="I626" s="40"/>
      <c r="J626" s="40"/>
      <c r="K626" s="44"/>
    </row>
    <row r="627" spans="1:11" x14ac:dyDescent="0.2">
      <c r="A627" s="5">
        <v>365</v>
      </c>
      <c r="B627" s="6" t="s">
        <v>118</v>
      </c>
      <c r="C627" s="6" t="s">
        <v>114</v>
      </c>
      <c r="D627" s="42" t="s">
        <v>1291</v>
      </c>
      <c r="E627" s="38" t="s">
        <v>1290</v>
      </c>
      <c r="F627" s="141"/>
      <c r="G627" s="40"/>
      <c r="H627" s="40"/>
      <c r="I627" s="40"/>
      <c r="J627" s="40"/>
      <c r="K627" s="44"/>
    </row>
    <row r="628" spans="1:11" x14ac:dyDescent="0.2">
      <c r="A628" s="5">
        <v>368</v>
      </c>
      <c r="B628" s="6" t="s">
        <v>118</v>
      </c>
      <c r="C628" s="6" t="s">
        <v>114</v>
      </c>
      <c r="D628" s="140"/>
      <c r="E628" s="38" t="s">
        <v>1292</v>
      </c>
      <c r="F628" s="141"/>
      <c r="G628" s="40"/>
      <c r="H628" s="40"/>
      <c r="I628" s="40"/>
      <c r="J628" s="40"/>
      <c r="K628" s="44"/>
    </row>
    <row r="629" spans="1:11" x14ac:dyDescent="0.2">
      <c r="A629" s="5">
        <v>380</v>
      </c>
      <c r="B629" s="6" t="s">
        <v>119</v>
      </c>
      <c r="C629" s="6" t="s">
        <v>112</v>
      </c>
      <c r="D629" s="140"/>
      <c r="E629" s="38" t="s">
        <v>1275</v>
      </c>
      <c r="F629" s="141"/>
      <c r="G629" s="40"/>
      <c r="H629" s="40"/>
      <c r="I629" s="40"/>
      <c r="J629" s="40"/>
      <c r="K629" s="44"/>
    </row>
    <row r="630" spans="1:11" x14ac:dyDescent="0.2">
      <c r="A630" s="5">
        <v>381</v>
      </c>
      <c r="B630" s="6" t="s">
        <v>119</v>
      </c>
      <c r="C630" s="6" t="s">
        <v>112</v>
      </c>
      <c r="D630" s="140"/>
      <c r="E630" s="38" t="s">
        <v>1276</v>
      </c>
      <c r="F630" s="141"/>
      <c r="G630" s="40"/>
      <c r="H630" s="40"/>
      <c r="I630" s="40"/>
      <c r="J630" s="40"/>
      <c r="K630" s="44"/>
    </row>
    <row r="631" spans="1:11" x14ac:dyDescent="0.2">
      <c r="A631" s="5">
        <v>396</v>
      </c>
      <c r="B631" s="6" t="s">
        <v>119</v>
      </c>
      <c r="C631" s="6" t="s">
        <v>112</v>
      </c>
      <c r="D631" s="42" t="s">
        <v>1293</v>
      </c>
      <c r="E631" s="38" t="s">
        <v>1290</v>
      </c>
      <c r="F631" s="141"/>
      <c r="G631" s="40"/>
      <c r="H631" s="40"/>
      <c r="I631" s="40"/>
      <c r="J631" s="40"/>
      <c r="K631" s="44"/>
    </row>
    <row r="632" spans="1:11" x14ac:dyDescent="0.2">
      <c r="A632" s="6">
        <v>406</v>
      </c>
      <c r="B632" s="6" t="s">
        <v>119</v>
      </c>
      <c r="C632" s="6" t="s">
        <v>112</v>
      </c>
      <c r="D632" s="140"/>
      <c r="E632" s="38" t="s">
        <v>1292</v>
      </c>
      <c r="F632" s="141"/>
      <c r="G632" s="40"/>
      <c r="H632" s="40"/>
      <c r="I632" s="40"/>
      <c r="J632" s="40"/>
      <c r="K632" s="44"/>
    </row>
    <row r="633" spans="1:11" x14ac:dyDescent="0.2">
      <c r="A633" s="5">
        <v>420</v>
      </c>
      <c r="B633" s="6" t="s">
        <v>119</v>
      </c>
      <c r="C633" s="6" t="s">
        <v>113</v>
      </c>
      <c r="D633" s="140"/>
      <c r="E633" s="38" t="s">
        <v>1273</v>
      </c>
      <c r="F633" s="146"/>
      <c r="G633" s="40"/>
      <c r="H633" s="40"/>
      <c r="I633" s="40"/>
      <c r="J633" s="40"/>
      <c r="K633" s="44"/>
    </row>
    <row r="634" spans="1:11" x14ac:dyDescent="0.2">
      <c r="A634" s="6">
        <v>421</v>
      </c>
      <c r="B634" s="6" t="s">
        <v>119</v>
      </c>
      <c r="C634" s="6" t="s">
        <v>113</v>
      </c>
      <c r="D634" s="140"/>
      <c r="E634" s="38" t="s">
        <v>1270</v>
      </c>
      <c r="F634" s="146"/>
      <c r="G634" s="40"/>
      <c r="H634" s="40"/>
      <c r="I634" s="40"/>
      <c r="J634" s="40"/>
      <c r="K634" s="44"/>
    </row>
    <row r="635" spans="1:11" x14ac:dyDescent="0.2">
      <c r="A635" s="6">
        <v>445</v>
      </c>
      <c r="B635" s="6" t="s">
        <v>119</v>
      </c>
      <c r="C635" s="6" t="s">
        <v>113</v>
      </c>
      <c r="D635" s="140"/>
      <c r="E635" s="38" t="s">
        <v>1286</v>
      </c>
      <c r="F635" s="146"/>
      <c r="G635" s="40"/>
      <c r="H635" s="40"/>
      <c r="I635" s="40"/>
      <c r="J635" s="40"/>
      <c r="K635" s="44"/>
    </row>
    <row r="636" spans="1:11" x14ac:dyDescent="0.2">
      <c r="A636" s="5">
        <v>459</v>
      </c>
      <c r="B636" s="6" t="s">
        <v>119</v>
      </c>
      <c r="C636" s="6" t="s">
        <v>114</v>
      </c>
      <c r="D636" s="140"/>
      <c r="E636" s="38" t="s">
        <v>1274</v>
      </c>
      <c r="F636" s="141"/>
      <c r="G636" s="40"/>
      <c r="H636" s="40"/>
      <c r="I636" s="40"/>
      <c r="J636" s="40"/>
      <c r="K636" s="44"/>
    </row>
    <row r="637" spans="1:11" x14ac:dyDescent="0.2">
      <c r="A637" s="6">
        <v>460</v>
      </c>
      <c r="B637" s="6" t="s">
        <v>119</v>
      </c>
      <c r="C637" s="6" t="s">
        <v>114</v>
      </c>
      <c r="D637" s="140"/>
      <c r="E637" s="38" t="s">
        <v>1270</v>
      </c>
      <c r="F637" s="141"/>
      <c r="G637" s="40"/>
      <c r="H637" s="40"/>
      <c r="I637" s="40"/>
      <c r="J637" s="40"/>
      <c r="K637" s="44"/>
    </row>
    <row r="638" spans="1:11" x14ac:dyDescent="0.2">
      <c r="A638" s="6">
        <v>475</v>
      </c>
      <c r="B638" s="6" t="s">
        <v>119</v>
      </c>
      <c r="C638" s="6" t="s">
        <v>114</v>
      </c>
      <c r="D638" s="42" t="s">
        <v>1294</v>
      </c>
      <c r="E638" s="38" t="s">
        <v>1284</v>
      </c>
      <c r="F638" s="141"/>
      <c r="G638" s="40"/>
      <c r="H638" s="40"/>
      <c r="I638" s="40"/>
      <c r="J638" s="40"/>
      <c r="K638" s="44"/>
    </row>
    <row r="639" spans="1:11" x14ac:dyDescent="0.2">
      <c r="A639" s="5">
        <v>485</v>
      </c>
      <c r="B639" s="6" t="s">
        <v>119</v>
      </c>
      <c r="C639" s="6" t="s">
        <v>114</v>
      </c>
      <c r="D639" s="140"/>
      <c r="E639" s="38" t="s">
        <v>1286</v>
      </c>
      <c r="F639" s="141"/>
      <c r="G639" s="40"/>
      <c r="H639" s="40"/>
      <c r="I639" s="40"/>
      <c r="J639" s="40"/>
      <c r="K639" s="44"/>
    </row>
    <row r="640" spans="1:11" x14ac:dyDescent="0.2">
      <c r="A640" s="6">
        <v>499</v>
      </c>
      <c r="B640" s="6" t="s">
        <v>120</v>
      </c>
      <c r="C640" s="6" t="s">
        <v>112</v>
      </c>
      <c r="D640" s="140"/>
      <c r="E640" s="38" t="s">
        <v>1269</v>
      </c>
      <c r="F640" s="141"/>
      <c r="G640" s="40"/>
      <c r="H640" s="40"/>
      <c r="I640" s="40"/>
      <c r="J640" s="40"/>
      <c r="K640" s="51"/>
    </row>
    <row r="641" spans="1:11" x14ac:dyDescent="0.2">
      <c r="A641" s="5">
        <v>500</v>
      </c>
      <c r="B641" s="6" t="s">
        <v>120</v>
      </c>
      <c r="C641" s="6" t="s">
        <v>112</v>
      </c>
      <c r="D641" s="140"/>
      <c r="E641" s="38" t="s">
        <v>1270</v>
      </c>
      <c r="F641" s="141"/>
      <c r="G641" s="40"/>
      <c r="H641" s="40"/>
      <c r="I641" s="40"/>
      <c r="J641" s="40"/>
      <c r="K641" s="51"/>
    </row>
    <row r="642" spans="1:11" x14ac:dyDescent="0.2">
      <c r="A642" s="5">
        <v>515</v>
      </c>
      <c r="B642" s="6" t="s">
        <v>120</v>
      </c>
      <c r="C642" s="6" t="s">
        <v>112</v>
      </c>
      <c r="D642" s="42" t="s">
        <v>1295</v>
      </c>
      <c r="E642" s="38" t="s">
        <v>1284</v>
      </c>
      <c r="F642" s="141"/>
      <c r="G642" s="40"/>
      <c r="H642" s="40"/>
      <c r="I642" s="40"/>
      <c r="J642" s="40"/>
      <c r="K642" s="51"/>
    </row>
    <row r="643" spans="1:11" x14ac:dyDescent="0.2">
      <c r="A643" s="5">
        <v>516</v>
      </c>
      <c r="B643" s="6" t="s">
        <v>120</v>
      </c>
      <c r="C643" s="6" t="s">
        <v>112</v>
      </c>
      <c r="D643" s="42" t="s">
        <v>1296</v>
      </c>
      <c r="E643" s="38" t="s">
        <v>1284</v>
      </c>
      <c r="F643" s="141"/>
      <c r="G643" s="40"/>
      <c r="H643" s="40"/>
      <c r="I643" s="40"/>
      <c r="J643" s="40"/>
      <c r="K643" s="51"/>
    </row>
    <row r="644" spans="1:11" x14ac:dyDescent="0.2">
      <c r="A644" s="6">
        <v>523</v>
      </c>
      <c r="B644" s="6" t="s">
        <v>120</v>
      </c>
      <c r="C644" s="6" t="s">
        <v>112</v>
      </c>
      <c r="D644" s="140"/>
      <c r="E644" s="38" t="s">
        <v>1286</v>
      </c>
      <c r="F644" s="141"/>
      <c r="G644" s="40"/>
      <c r="H644" s="40"/>
      <c r="I644" s="40"/>
      <c r="J644" s="40"/>
      <c r="K644" s="51"/>
    </row>
    <row r="645" spans="1:11" x14ac:dyDescent="0.2">
      <c r="A645" s="6">
        <v>538</v>
      </c>
      <c r="B645" s="6" t="s">
        <v>120</v>
      </c>
      <c r="C645" s="6" t="s">
        <v>113</v>
      </c>
      <c r="D645" s="140"/>
      <c r="E645" s="38" t="s">
        <v>1273</v>
      </c>
      <c r="F645" s="141"/>
      <c r="G645" s="40"/>
      <c r="H645" s="40"/>
      <c r="I645" s="40"/>
      <c r="J645" s="40"/>
      <c r="K645" s="44"/>
    </row>
    <row r="646" spans="1:11" x14ac:dyDescent="0.2">
      <c r="A646" s="5">
        <v>539</v>
      </c>
      <c r="B646" s="6" t="s">
        <v>120</v>
      </c>
      <c r="C646" s="6" t="s">
        <v>113</v>
      </c>
      <c r="D646" s="140"/>
      <c r="E646" s="38" t="s">
        <v>1270</v>
      </c>
      <c r="F646" s="141"/>
      <c r="G646" s="40"/>
      <c r="H646" s="40"/>
      <c r="I646" s="40"/>
      <c r="J646" s="40"/>
      <c r="K646" s="44"/>
    </row>
    <row r="647" spans="1:11" x14ac:dyDescent="0.2">
      <c r="A647" s="5">
        <v>554</v>
      </c>
      <c r="B647" s="6" t="s">
        <v>120</v>
      </c>
      <c r="C647" s="6" t="s">
        <v>113</v>
      </c>
      <c r="D647" s="42" t="s">
        <v>1297</v>
      </c>
      <c r="E647" s="38" t="s">
        <v>1284</v>
      </c>
      <c r="F647" s="141"/>
      <c r="G647" s="40"/>
      <c r="H647" s="40"/>
      <c r="I647" s="40"/>
      <c r="J647" s="40"/>
      <c r="K647" s="44"/>
    </row>
    <row r="648" spans="1:11" x14ac:dyDescent="0.2">
      <c r="A648" s="5">
        <v>555</v>
      </c>
      <c r="B648" s="6" t="s">
        <v>120</v>
      </c>
      <c r="C648" s="6" t="s">
        <v>113</v>
      </c>
      <c r="D648" s="42" t="s">
        <v>1298</v>
      </c>
      <c r="E648" s="38" t="s">
        <v>1284</v>
      </c>
      <c r="F648" s="141"/>
      <c r="G648" s="40"/>
      <c r="H648" s="40"/>
      <c r="I648" s="40"/>
      <c r="J648" s="40"/>
      <c r="K648" s="44"/>
    </row>
    <row r="649" spans="1:11" x14ac:dyDescent="0.2">
      <c r="A649" s="6">
        <v>562</v>
      </c>
      <c r="B649" s="6" t="s">
        <v>120</v>
      </c>
      <c r="C649" s="6" t="s">
        <v>113</v>
      </c>
      <c r="D649" s="140"/>
      <c r="E649" s="38" t="s">
        <v>1286</v>
      </c>
      <c r="F649" s="141"/>
      <c r="G649" s="40"/>
      <c r="H649" s="40"/>
      <c r="I649" s="40"/>
      <c r="J649" s="40"/>
      <c r="K649" s="44"/>
    </row>
    <row r="650" spans="1:11" x14ac:dyDescent="0.2">
      <c r="A650" s="6">
        <v>577</v>
      </c>
      <c r="B650" s="6" t="s">
        <v>120</v>
      </c>
      <c r="C650" s="6" t="s">
        <v>114</v>
      </c>
      <c r="D650" s="140"/>
      <c r="E650" s="38" t="s">
        <v>1274</v>
      </c>
      <c r="F650" s="141"/>
      <c r="G650" s="40"/>
      <c r="H650" s="40"/>
      <c r="I650" s="40"/>
      <c r="J650" s="40"/>
      <c r="K650" s="44"/>
    </row>
    <row r="651" spans="1:11" x14ac:dyDescent="0.2">
      <c r="A651" s="5">
        <v>578</v>
      </c>
      <c r="B651" s="6" t="s">
        <v>120</v>
      </c>
      <c r="C651" s="6" t="s">
        <v>114</v>
      </c>
      <c r="D651" s="140"/>
      <c r="E651" s="38" t="s">
        <v>1270</v>
      </c>
      <c r="F651" s="141"/>
      <c r="G651" s="40"/>
      <c r="H651" s="40"/>
      <c r="I651" s="40"/>
      <c r="J651" s="40"/>
      <c r="K651" s="44"/>
    </row>
    <row r="652" spans="1:11" x14ac:dyDescent="0.2">
      <c r="A652" s="5">
        <v>593</v>
      </c>
      <c r="B652" s="6" t="s">
        <v>120</v>
      </c>
      <c r="C652" s="6" t="s">
        <v>114</v>
      </c>
      <c r="D652" s="42" t="s">
        <v>1299</v>
      </c>
      <c r="E652" s="38" t="s">
        <v>1284</v>
      </c>
      <c r="F652" s="141"/>
      <c r="G652" s="40"/>
      <c r="H652" s="40"/>
      <c r="I652" s="40"/>
      <c r="J652" s="40"/>
      <c r="K652" s="44"/>
    </row>
    <row r="653" spans="1:11" x14ac:dyDescent="0.2">
      <c r="A653" s="5">
        <v>594</v>
      </c>
      <c r="B653" s="6" t="s">
        <v>120</v>
      </c>
      <c r="C653" s="6" t="s">
        <v>114</v>
      </c>
      <c r="D653" s="42" t="s">
        <v>1300</v>
      </c>
      <c r="E653" s="38" t="s">
        <v>1284</v>
      </c>
      <c r="F653" s="141"/>
      <c r="G653" s="40"/>
      <c r="H653" s="40"/>
      <c r="I653" s="40"/>
      <c r="J653" s="40"/>
      <c r="K653" s="44"/>
    </row>
    <row r="654" spans="1:11" x14ac:dyDescent="0.2">
      <c r="A654" s="6">
        <v>601</v>
      </c>
      <c r="B654" s="6" t="s">
        <v>120</v>
      </c>
      <c r="C654" s="6" t="s">
        <v>114</v>
      </c>
      <c r="D654" s="143"/>
      <c r="E654" s="65" t="s">
        <v>1286</v>
      </c>
      <c r="F654" s="144"/>
      <c r="G654" s="113"/>
      <c r="H654" s="40"/>
      <c r="I654" s="40"/>
      <c r="J654" s="113"/>
      <c r="K654" s="147"/>
    </row>
  </sheetData>
  <sortState xmlns:xlrd2="http://schemas.microsoft.com/office/spreadsheetml/2017/richdata2" ref="A34:K654">
    <sortCondition ref="H34:H654"/>
  </sortState>
  <phoneticPr fontId="3" type="noConversion"/>
  <printOptions horizontalCentered="1"/>
  <pageMargins left="0.78740157480314965" right="0.78740157480314965" top="0.74803149606299213" bottom="0.74803149606299213" header="0.31496062992125984" footer="0.31496062992125984"/>
  <pageSetup paperSize="9" scale="1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6BE15F-494A-496B-93C6-595B077DEE36}">
  <sheetPr>
    <pageSetUpPr fitToPage="1"/>
  </sheetPr>
  <dimension ref="A1:K629"/>
  <sheetViews>
    <sheetView view="pageBreakPreview" zoomScale="85" zoomScaleNormal="100" zoomScaleSheetLayoutView="85" workbookViewId="0">
      <pane ySplit="15" topLeftCell="A16" activePane="bottomLeft" state="frozen"/>
      <selection pane="bottomLeft" activeCell="D1" sqref="D1"/>
    </sheetView>
  </sheetViews>
  <sheetFormatPr defaultRowHeight="15" x14ac:dyDescent="0.2"/>
  <cols>
    <col min="1" max="3" width="9.33203125" style="6"/>
    <col min="4" max="4" width="8.83203125" style="7" customWidth="1"/>
    <col min="5" max="5" width="40.83203125" style="6" customWidth="1"/>
    <col min="6" max="6" width="12.83203125" style="8" customWidth="1"/>
    <col min="7" max="8" width="12.83203125" style="7" customWidth="1"/>
    <col min="9" max="9" width="20.83203125" style="7" customWidth="1"/>
    <col min="10" max="10" width="12.83203125" style="7" customWidth="1"/>
    <col min="11" max="11" width="24.83203125" style="7" customWidth="1"/>
    <col min="12" max="12" width="2.1640625" style="6" customWidth="1"/>
    <col min="13" max="16384" width="9.33203125" style="6"/>
  </cols>
  <sheetData>
    <row r="1" spans="1:11" ht="18.75" x14ac:dyDescent="0.2">
      <c r="D1" s="148" t="s">
        <v>223</v>
      </c>
    </row>
    <row r="3" spans="1:11" x14ac:dyDescent="0.2">
      <c r="E3" s="9" t="s">
        <v>220</v>
      </c>
      <c r="F3" s="9" t="s">
        <v>221</v>
      </c>
      <c r="G3" s="9" t="s">
        <v>222</v>
      </c>
    </row>
    <row r="4" spans="1:11" x14ac:dyDescent="0.2">
      <c r="D4" s="6"/>
      <c r="E4" s="12" t="s">
        <v>20</v>
      </c>
      <c r="F4" s="149">
        <f>SUM(F41:F103)</f>
        <v>1687.09</v>
      </c>
      <c r="G4" s="12" t="s">
        <v>219</v>
      </c>
    </row>
    <row r="5" spans="1:11" x14ac:dyDescent="0.2">
      <c r="D5" s="6"/>
      <c r="E5" s="12" t="s">
        <v>127</v>
      </c>
      <c r="F5" s="149">
        <f>SUM(F104:F107)</f>
        <v>75.63000000000001</v>
      </c>
      <c r="G5" s="12" t="s">
        <v>219</v>
      </c>
    </row>
    <row r="6" spans="1:11" x14ac:dyDescent="0.2">
      <c r="D6" s="6"/>
      <c r="E6" s="12" t="s">
        <v>26</v>
      </c>
      <c r="F6" s="149">
        <f>SUM(F108:F383)</f>
        <v>4812.2500000000036</v>
      </c>
      <c r="G6" s="12" t="s">
        <v>219</v>
      </c>
    </row>
    <row r="7" spans="1:11" x14ac:dyDescent="0.2">
      <c r="D7" s="6"/>
      <c r="E7" s="12" t="s">
        <v>18</v>
      </c>
      <c r="F7" s="149">
        <f>SUM(F384:F483)</f>
        <v>785.85000000000014</v>
      </c>
      <c r="G7" s="12" t="s">
        <v>219</v>
      </c>
    </row>
    <row r="8" spans="1:11" x14ac:dyDescent="0.2">
      <c r="D8" s="6"/>
      <c r="E8" s="12" t="s">
        <v>217</v>
      </c>
      <c r="F8" s="149">
        <f>SUM(F484:F486)</f>
        <v>135.5</v>
      </c>
      <c r="G8" s="12" t="s">
        <v>219</v>
      </c>
    </row>
    <row r="9" spans="1:11" x14ac:dyDescent="0.2">
      <c r="D9" s="6"/>
      <c r="E9" s="12" t="s">
        <v>32</v>
      </c>
      <c r="F9" s="149">
        <f>SUM(F487:F511)</f>
        <v>1400.15</v>
      </c>
      <c r="G9" s="12" t="s">
        <v>219</v>
      </c>
    </row>
    <row r="10" spans="1:11" x14ac:dyDescent="0.2">
      <c r="D10" s="6"/>
      <c r="E10" s="12" t="s">
        <v>44</v>
      </c>
      <c r="F10" s="149">
        <f>SUM(F512:F558)</f>
        <v>2379.75</v>
      </c>
      <c r="G10" s="12" t="s">
        <v>219</v>
      </c>
    </row>
    <row r="11" spans="1:11" x14ac:dyDescent="0.2">
      <c r="D11" s="6"/>
      <c r="E11" s="12" t="s">
        <v>218</v>
      </c>
      <c r="F11" s="149">
        <f>SUM(F36:F40)</f>
        <v>30.674999999999997</v>
      </c>
      <c r="G11" s="12" t="s">
        <v>219</v>
      </c>
    </row>
    <row r="13" spans="1:11" ht="15.75" thickBot="1" x14ac:dyDescent="0.25"/>
    <row r="14" spans="1:11" s="17" customFormat="1" ht="12.75" customHeight="1" x14ac:dyDescent="0.2">
      <c r="A14" s="5">
        <v>2</v>
      </c>
      <c r="D14" s="18" t="s">
        <v>610</v>
      </c>
      <c r="E14" s="19" t="s">
        <v>611</v>
      </c>
      <c r="F14" s="19" t="s">
        <v>612</v>
      </c>
      <c r="G14" s="20" t="s">
        <v>613</v>
      </c>
      <c r="H14" s="21" t="s">
        <v>614</v>
      </c>
      <c r="I14" s="22"/>
      <c r="J14" s="22"/>
      <c r="K14" s="23" t="s">
        <v>0</v>
      </c>
    </row>
    <row r="15" spans="1:11" s="17" customFormat="1" ht="12.75" customHeight="1" thickBot="1" x14ac:dyDescent="0.25">
      <c r="A15" s="5">
        <v>3</v>
      </c>
      <c r="D15" s="24"/>
      <c r="E15" s="25"/>
      <c r="F15" s="25"/>
      <c r="G15" s="26"/>
      <c r="H15" s="27" t="s">
        <v>615</v>
      </c>
      <c r="I15" s="27" t="s">
        <v>616</v>
      </c>
      <c r="J15" s="28" t="s">
        <v>617</v>
      </c>
      <c r="K15" s="29"/>
    </row>
    <row r="16" spans="1:11" ht="24.95" customHeight="1" x14ac:dyDescent="0.2">
      <c r="A16" s="5">
        <v>24</v>
      </c>
      <c r="B16" s="6" t="s">
        <v>111</v>
      </c>
      <c r="C16" s="6" t="s">
        <v>112</v>
      </c>
      <c r="D16" s="69" t="s">
        <v>1271</v>
      </c>
      <c r="E16" s="31" t="s">
        <v>1272</v>
      </c>
      <c r="F16" s="70">
        <v>84.85</v>
      </c>
      <c r="G16" s="33" t="s">
        <v>9</v>
      </c>
      <c r="H16" s="33"/>
      <c r="I16" s="33"/>
      <c r="J16" s="33" t="s">
        <v>9</v>
      </c>
      <c r="K16" s="150"/>
    </row>
    <row r="17" spans="1:11" ht="24.95" customHeight="1" x14ac:dyDescent="0.2">
      <c r="A17" s="5">
        <v>38</v>
      </c>
      <c r="B17" s="6" t="s">
        <v>111</v>
      </c>
      <c r="C17" s="6" t="s">
        <v>112</v>
      </c>
      <c r="D17" s="42" t="s">
        <v>984</v>
      </c>
      <c r="E17" s="38" t="s">
        <v>985</v>
      </c>
      <c r="F17" s="49">
        <v>3.65</v>
      </c>
      <c r="G17" s="40" t="s">
        <v>9</v>
      </c>
      <c r="H17" s="36" t="s">
        <v>607</v>
      </c>
      <c r="I17" s="40" t="s">
        <v>1</v>
      </c>
      <c r="J17" s="40" t="s">
        <v>9</v>
      </c>
      <c r="K17" s="44"/>
    </row>
    <row r="18" spans="1:11" ht="24.95" customHeight="1" x14ac:dyDescent="0.2">
      <c r="A18" s="6">
        <v>139</v>
      </c>
      <c r="B18" s="6" t="s">
        <v>116</v>
      </c>
      <c r="C18" s="6" t="s">
        <v>112</v>
      </c>
      <c r="D18" s="37" t="s">
        <v>622</v>
      </c>
      <c r="E18" s="38" t="s">
        <v>623</v>
      </c>
      <c r="F18" s="39">
        <v>2.6</v>
      </c>
      <c r="G18" s="40"/>
      <c r="H18" s="40" t="s">
        <v>9</v>
      </c>
      <c r="I18" s="36" t="s">
        <v>47</v>
      </c>
      <c r="J18" s="40" t="s">
        <v>9</v>
      </c>
      <c r="K18" s="41"/>
    </row>
    <row r="19" spans="1:11" ht="24.95" customHeight="1" x14ac:dyDescent="0.2">
      <c r="A19" s="5">
        <v>149</v>
      </c>
      <c r="B19" s="6" t="s">
        <v>116</v>
      </c>
      <c r="C19" s="6" t="s">
        <v>113</v>
      </c>
      <c r="D19" s="42" t="s">
        <v>624</v>
      </c>
      <c r="E19" s="38" t="s">
        <v>625</v>
      </c>
      <c r="F19" s="43">
        <v>6.1</v>
      </c>
      <c r="G19" s="40" t="s">
        <v>9</v>
      </c>
      <c r="H19" s="40" t="s">
        <v>9</v>
      </c>
      <c r="I19" s="36" t="s">
        <v>8</v>
      </c>
      <c r="J19" s="40" t="s">
        <v>9</v>
      </c>
      <c r="K19" s="44"/>
    </row>
    <row r="20" spans="1:11" ht="24.95" customHeight="1" x14ac:dyDescent="0.2">
      <c r="A20" s="5">
        <v>150</v>
      </c>
      <c r="B20" s="6" t="s">
        <v>116</v>
      </c>
      <c r="C20" s="6" t="s">
        <v>113</v>
      </c>
      <c r="D20" s="42" t="s">
        <v>626</v>
      </c>
      <c r="E20" s="38" t="s">
        <v>627</v>
      </c>
      <c r="F20" s="43">
        <v>4.5</v>
      </c>
      <c r="G20" s="40" t="s">
        <v>9</v>
      </c>
      <c r="H20" s="40" t="s">
        <v>9</v>
      </c>
      <c r="I20" s="36" t="s">
        <v>8</v>
      </c>
      <c r="J20" s="40" t="s">
        <v>9</v>
      </c>
      <c r="K20" s="44"/>
    </row>
    <row r="21" spans="1:11" ht="24.95" customHeight="1" x14ac:dyDescent="0.2">
      <c r="A21" s="6">
        <v>214</v>
      </c>
      <c r="B21" s="6" t="s">
        <v>116</v>
      </c>
      <c r="C21" s="6" t="s">
        <v>114</v>
      </c>
      <c r="D21" s="42" t="s">
        <v>636</v>
      </c>
      <c r="E21" s="38" t="s">
        <v>619</v>
      </c>
      <c r="F21" s="39">
        <v>6.15</v>
      </c>
      <c r="G21" s="40" t="s">
        <v>9</v>
      </c>
      <c r="H21" s="40" t="s">
        <v>9</v>
      </c>
      <c r="I21" s="36" t="s">
        <v>8</v>
      </c>
      <c r="J21" s="40" t="s">
        <v>9</v>
      </c>
      <c r="K21" s="44"/>
    </row>
    <row r="22" spans="1:11" ht="24.95" customHeight="1" x14ac:dyDescent="0.2">
      <c r="A22" s="5">
        <v>215</v>
      </c>
      <c r="B22" s="6" t="s">
        <v>116</v>
      </c>
      <c r="C22" s="6" t="s">
        <v>114</v>
      </c>
      <c r="D22" s="42" t="s">
        <v>637</v>
      </c>
      <c r="E22" s="38" t="s">
        <v>621</v>
      </c>
      <c r="F22" s="39">
        <v>4.5</v>
      </c>
      <c r="G22" s="40" t="s">
        <v>9</v>
      </c>
      <c r="H22" s="40" t="s">
        <v>9</v>
      </c>
      <c r="I22" s="36" t="s">
        <v>8</v>
      </c>
      <c r="J22" s="40" t="s">
        <v>9</v>
      </c>
      <c r="K22" s="44"/>
    </row>
    <row r="23" spans="1:11" ht="24.95" customHeight="1" x14ac:dyDescent="0.2">
      <c r="A23" s="6">
        <v>226</v>
      </c>
      <c r="B23" s="6" t="s">
        <v>116</v>
      </c>
      <c r="C23" s="6" t="s">
        <v>114</v>
      </c>
      <c r="D23" s="42" t="s">
        <v>638</v>
      </c>
      <c r="E23" s="38" t="s">
        <v>623</v>
      </c>
      <c r="F23" s="39">
        <v>6</v>
      </c>
      <c r="G23" s="40" t="s">
        <v>9</v>
      </c>
      <c r="H23" s="40" t="s">
        <v>9</v>
      </c>
      <c r="I23" s="40" t="s">
        <v>63</v>
      </c>
      <c r="J23" s="40" t="s">
        <v>9</v>
      </c>
      <c r="K23" s="44"/>
    </row>
    <row r="24" spans="1:11" ht="24.95" customHeight="1" x14ac:dyDescent="0.2">
      <c r="A24" s="6">
        <v>352</v>
      </c>
      <c r="B24" s="6" t="s">
        <v>118</v>
      </c>
      <c r="C24" s="6" t="s">
        <v>114</v>
      </c>
      <c r="D24" s="42" t="s">
        <v>650</v>
      </c>
      <c r="E24" s="38" t="s">
        <v>619</v>
      </c>
      <c r="F24" s="39">
        <v>6.15</v>
      </c>
      <c r="G24" s="40" t="s">
        <v>9</v>
      </c>
      <c r="H24" s="40" t="s">
        <v>9</v>
      </c>
      <c r="I24" s="36" t="s">
        <v>8</v>
      </c>
      <c r="J24" s="40" t="s">
        <v>9</v>
      </c>
      <c r="K24" s="44"/>
    </row>
    <row r="25" spans="1:11" ht="24.95" customHeight="1" x14ac:dyDescent="0.2">
      <c r="A25" s="5">
        <v>353</v>
      </c>
      <c r="B25" s="6" t="s">
        <v>118</v>
      </c>
      <c r="C25" s="6" t="s">
        <v>114</v>
      </c>
      <c r="D25" s="42" t="s">
        <v>652</v>
      </c>
      <c r="E25" s="38" t="s">
        <v>621</v>
      </c>
      <c r="F25" s="39">
        <v>4.5</v>
      </c>
      <c r="G25" s="40" t="s">
        <v>9</v>
      </c>
      <c r="H25" s="40" t="s">
        <v>9</v>
      </c>
      <c r="I25" s="36" t="s">
        <v>8</v>
      </c>
      <c r="J25" s="40" t="s">
        <v>9</v>
      </c>
      <c r="K25" s="44"/>
    </row>
    <row r="26" spans="1:11" ht="24.95" customHeight="1" x14ac:dyDescent="0.2">
      <c r="A26" s="5">
        <v>383</v>
      </c>
      <c r="B26" s="6" t="s">
        <v>119</v>
      </c>
      <c r="C26" s="6" t="s">
        <v>112</v>
      </c>
      <c r="D26" s="42" t="s">
        <v>653</v>
      </c>
      <c r="E26" s="38" t="s">
        <v>619</v>
      </c>
      <c r="F26" s="39">
        <v>6.15</v>
      </c>
      <c r="G26" s="40" t="s">
        <v>9</v>
      </c>
      <c r="H26" s="40" t="s">
        <v>9</v>
      </c>
      <c r="I26" s="36" t="s">
        <v>8</v>
      </c>
      <c r="J26" s="40" t="s">
        <v>9</v>
      </c>
      <c r="K26" s="44"/>
    </row>
    <row r="27" spans="1:11" ht="24.95" customHeight="1" x14ac:dyDescent="0.2">
      <c r="A27" s="5">
        <v>384</v>
      </c>
      <c r="B27" s="6" t="s">
        <v>119</v>
      </c>
      <c r="C27" s="6" t="s">
        <v>112</v>
      </c>
      <c r="D27" s="42" t="s">
        <v>655</v>
      </c>
      <c r="E27" s="38" t="s">
        <v>621</v>
      </c>
      <c r="F27" s="39">
        <v>4.5</v>
      </c>
      <c r="G27" s="40" t="s">
        <v>9</v>
      </c>
      <c r="H27" s="40" t="s">
        <v>9</v>
      </c>
      <c r="I27" s="36" t="s">
        <v>8</v>
      </c>
      <c r="J27" s="40" t="s">
        <v>9</v>
      </c>
      <c r="K27" s="44"/>
    </row>
    <row r="28" spans="1:11" ht="24.95" customHeight="1" x14ac:dyDescent="0.2">
      <c r="A28" s="5">
        <v>423</v>
      </c>
      <c r="B28" s="6" t="s">
        <v>119</v>
      </c>
      <c r="C28" s="6" t="s">
        <v>113</v>
      </c>
      <c r="D28" s="42" t="s">
        <v>657</v>
      </c>
      <c r="E28" s="38" t="s">
        <v>641</v>
      </c>
      <c r="F28" s="52">
        <v>6.15</v>
      </c>
      <c r="G28" s="40" t="s">
        <v>9</v>
      </c>
      <c r="H28" s="40" t="s">
        <v>9</v>
      </c>
      <c r="I28" s="36" t="s">
        <v>8</v>
      </c>
      <c r="J28" s="40" t="s">
        <v>9</v>
      </c>
      <c r="K28" s="44"/>
    </row>
    <row r="29" spans="1:11" ht="24.95" customHeight="1" x14ac:dyDescent="0.2">
      <c r="A29" s="6">
        <v>424</v>
      </c>
      <c r="B29" s="6" t="s">
        <v>119</v>
      </c>
      <c r="C29" s="6" t="s">
        <v>113</v>
      </c>
      <c r="D29" s="42" t="s">
        <v>658</v>
      </c>
      <c r="E29" s="38" t="s">
        <v>644</v>
      </c>
      <c r="F29" s="52">
        <v>4.5</v>
      </c>
      <c r="G29" s="40" t="s">
        <v>9</v>
      </c>
      <c r="H29" s="40" t="s">
        <v>9</v>
      </c>
      <c r="I29" s="36" t="s">
        <v>8</v>
      </c>
      <c r="J29" s="40" t="s">
        <v>9</v>
      </c>
      <c r="K29" s="44"/>
    </row>
    <row r="30" spans="1:11" ht="24.95" customHeight="1" x14ac:dyDescent="0.2">
      <c r="A30" s="5">
        <v>462</v>
      </c>
      <c r="B30" s="6" t="s">
        <v>119</v>
      </c>
      <c r="C30" s="6" t="s">
        <v>114</v>
      </c>
      <c r="D30" s="42" t="s">
        <v>659</v>
      </c>
      <c r="E30" s="38" t="s">
        <v>660</v>
      </c>
      <c r="F30" s="49">
        <v>6.15</v>
      </c>
      <c r="G30" s="40" t="s">
        <v>9</v>
      </c>
      <c r="H30" s="40" t="s">
        <v>9</v>
      </c>
      <c r="I30" s="36" t="s">
        <v>8</v>
      </c>
      <c r="J30" s="40" t="s">
        <v>9</v>
      </c>
      <c r="K30" s="44"/>
    </row>
    <row r="31" spans="1:11" ht="24.95" customHeight="1" x14ac:dyDescent="0.2">
      <c r="A31" s="6">
        <v>463</v>
      </c>
      <c r="B31" s="6" t="s">
        <v>119</v>
      </c>
      <c r="C31" s="6" t="s">
        <v>114</v>
      </c>
      <c r="D31" s="42" t="s">
        <v>661</v>
      </c>
      <c r="E31" s="38" t="s">
        <v>644</v>
      </c>
      <c r="F31" s="49">
        <v>4.5</v>
      </c>
      <c r="G31" s="40" t="s">
        <v>9</v>
      </c>
      <c r="H31" s="40" t="s">
        <v>9</v>
      </c>
      <c r="I31" s="36" t="s">
        <v>8</v>
      </c>
      <c r="J31" s="40" t="s">
        <v>9</v>
      </c>
      <c r="K31" s="44"/>
    </row>
    <row r="32" spans="1:11" ht="24.95" customHeight="1" x14ac:dyDescent="0.2">
      <c r="A32" s="6">
        <v>502</v>
      </c>
      <c r="B32" s="6" t="s">
        <v>120</v>
      </c>
      <c r="C32" s="6" t="s">
        <v>112</v>
      </c>
      <c r="D32" s="42" t="s">
        <v>662</v>
      </c>
      <c r="E32" s="38" t="s">
        <v>660</v>
      </c>
      <c r="F32" s="49">
        <v>6.1</v>
      </c>
      <c r="G32" s="40" t="s">
        <v>9</v>
      </c>
      <c r="H32" s="40" t="s">
        <v>9</v>
      </c>
      <c r="I32" s="36" t="s">
        <v>8</v>
      </c>
      <c r="J32" s="40" t="s">
        <v>9</v>
      </c>
      <c r="K32" s="51"/>
    </row>
    <row r="33" spans="1:11" ht="24.95" customHeight="1" x14ac:dyDescent="0.2">
      <c r="A33" s="5">
        <v>503</v>
      </c>
      <c r="B33" s="6" t="s">
        <v>120</v>
      </c>
      <c r="C33" s="6" t="s">
        <v>112</v>
      </c>
      <c r="D33" s="42" t="s">
        <v>663</v>
      </c>
      <c r="E33" s="38" t="s">
        <v>644</v>
      </c>
      <c r="F33" s="49">
        <v>4.4000000000000004</v>
      </c>
      <c r="G33" s="40" t="s">
        <v>9</v>
      </c>
      <c r="H33" s="40" t="s">
        <v>9</v>
      </c>
      <c r="I33" s="36" t="s">
        <v>8</v>
      </c>
      <c r="J33" s="40" t="s">
        <v>9</v>
      </c>
      <c r="K33" s="51"/>
    </row>
    <row r="34" spans="1:11" ht="24.95" customHeight="1" x14ac:dyDescent="0.2">
      <c r="A34" s="6">
        <v>541</v>
      </c>
      <c r="B34" s="6" t="s">
        <v>120</v>
      </c>
      <c r="C34" s="6" t="s">
        <v>113</v>
      </c>
      <c r="D34" s="42" t="s">
        <v>664</v>
      </c>
      <c r="E34" s="38" t="s">
        <v>660</v>
      </c>
      <c r="F34" s="49">
        <v>6.15</v>
      </c>
      <c r="G34" s="40" t="s">
        <v>9</v>
      </c>
      <c r="H34" s="40" t="s">
        <v>9</v>
      </c>
      <c r="I34" s="36" t="s">
        <v>8</v>
      </c>
      <c r="J34" s="40" t="s">
        <v>9</v>
      </c>
      <c r="K34" s="44"/>
    </row>
    <row r="35" spans="1:11" ht="24.95" customHeight="1" x14ac:dyDescent="0.2">
      <c r="A35" s="5">
        <v>542</v>
      </c>
      <c r="B35" s="6" t="s">
        <v>120</v>
      </c>
      <c r="C35" s="6" t="s">
        <v>113</v>
      </c>
      <c r="D35" s="42" t="s">
        <v>665</v>
      </c>
      <c r="E35" s="38" t="s">
        <v>644</v>
      </c>
      <c r="F35" s="49">
        <v>4.5</v>
      </c>
      <c r="G35" s="40" t="s">
        <v>9</v>
      </c>
      <c r="H35" s="40" t="s">
        <v>9</v>
      </c>
      <c r="I35" s="36" t="s">
        <v>8</v>
      </c>
      <c r="J35" s="40" t="s">
        <v>9</v>
      </c>
      <c r="K35" s="44"/>
    </row>
    <row r="36" spans="1:11" ht="24.95" customHeight="1" x14ac:dyDescent="0.2">
      <c r="A36" s="5">
        <v>39</v>
      </c>
      <c r="B36" s="6" t="s">
        <v>111</v>
      </c>
      <c r="C36" s="6" t="s">
        <v>112</v>
      </c>
      <c r="D36" s="42" t="s">
        <v>1012</v>
      </c>
      <c r="E36" s="38" t="s">
        <v>1013</v>
      </c>
      <c r="F36" s="49">
        <v>4.3</v>
      </c>
      <c r="G36" s="40" t="s">
        <v>9</v>
      </c>
      <c r="H36" s="36" t="s">
        <v>609</v>
      </c>
      <c r="I36" s="36" t="s">
        <v>2</v>
      </c>
      <c r="J36" s="36" t="s">
        <v>1014</v>
      </c>
      <c r="K36" s="46"/>
    </row>
    <row r="37" spans="1:11" ht="24.95" customHeight="1" x14ac:dyDescent="0.2">
      <c r="A37" s="6">
        <v>40</v>
      </c>
      <c r="B37" s="6" t="s">
        <v>111</v>
      </c>
      <c r="C37" s="6" t="s">
        <v>112</v>
      </c>
      <c r="D37" s="42" t="s">
        <v>992</v>
      </c>
      <c r="E37" s="38" t="s">
        <v>993</v>
      </c>
      <c r="F37" s="49">
        <v>15.2</v>
      </c>
      <c r="G37" s="40" t="s">
        <v>9</v>
      </c>
      <c r="H37" s="36" t="s">
        <v>608</v>
      </c>
      <c r="I37" s="36" t="s">
        <v>8</v>
      </c>
      <c r="J37" s="45" t="s">
        <v>126</v>
      </c>
      <c r="K37" s="46"/>
    </row>
    <row r="38" spans="1:11" ht="24.95" customHeight="1" x14ac:dyDescent="0.2">
      <c r="A38" s="82">
        <v>41</v>
      </c>
      <c r="B38" s="83" t="s">
        <v>111</v>
      </c>
      <c r="C38" s="83" t="s">
        <v>112</v>
      </c>
      <c r="D38" s="84" t="s">
        <v>121</v>
      </c>
      <c r="E38" s="85" t="s">
        <v>122</v>
      </c>
      <c r="F38" s="86">
        <f>2.25*1.5</f>
        <v>3.375</v>
      </c>
      <c r="G38" s="45" t="s">
        <v>9</v>
      </c>
      <c r="H38" s="45" t="s">
        <v>123</v>
      </c>
      <c r="I38" s="45" t="s">
        <v>8</v>
      </c>
      <c r="J38" s="45" t="s">
        <v>126</v>
      </c>
      <c r="K38" s="88"/>
    </row>
    <row r="39" spans="1:11" ht="24.95" customHeight="1" x14ac:dyDescent="0.2">
      <c r="A39" s="82">
        <v>42</v>
      </c>
      <c r="B39" s="83" t="s">
        <v>111</v>
      </c>
      <c r="C39" s="83" t="s">
        <v>112</v>
      </c>
      <c r="D39" s="84" t="s">
        <v>124</v>
      </c>
      <c r="E39" s="85" t="s">
        <v>125</v>
      </c>
      <c r="F39" s="86">
        <f>1.8*1.5</f>
        <v>2.7</v>
      </c>
      <c r="G39" s="45" t="s">
        <v>9</v>
      </c>
      <c r="H39" s="45" t="s">
        <v>123</v>
      </c>
      <c r="I39" s="45" t="s">
        <v>8</v>
      </c>
      <c r="J39" s="45" t="s">
        <v>126</v>
      </c>
      <c r="K39" s="88"/>
    </row>
    <row r="40" spans="1:11" ht="24.95" customHeight="1" x14ac:dyDescent="0.2">
      <c r="A40" s="5">
        <v>101</v>
      </c>
      <c r="B40" s="6" t="s">
        <v>111</v>
      </c>
      <c r="C40" s="6" t="s">
        <v>114</v>
      </c>
      <c r="D40" s="42" t="s">
        <v>1000</v>
      </c>
      <c r="E40" s="38" t="s">
        <v>1001</v>
      </c>
      <c r="F40" s="49">
        <v>5.0999999999999996</v>
      </c>
      <c r="G40" s="40" t="s">
        <v>9</v>
      </c>
      <c r="H40" s="36" t="s">
        <v>608</v>
      </c>
      <c r="I40" s="40" t="s">
        <v>8</v>
      </c>
      <c r="J40" s="45" t="s">
        <v>126</v>
      </c>
      <c r="K40" s="46"/>
    </row>
    <row r="41" spans="1:11" ht="24.95" customHeight="1" x14ac:dyDescent="0.2">
      <c r="A41" s="5">
        <v>51</v>
      </c>
      <c r="B41" s="6" t="s">
        <v>111</v>
      </c>
      <c r="C41" s="6" t="s">
        <v>113</v>
      </c>
      <c r="D41" s="42" t="s">
        <v>986</v>
      </c>
      <c r="E41" s="38" t="s">
        <v>660</v>
      </c>
      <c r="F41" s="49">
        <v>6.15</v>
      </c>
      <c r="G41" s="40" t="s">
        <v>9</v>
      </c>
      <c r="H41" s="36" t="s">
        <v>607</v>
      </c>
      <c r="I41" s="36" t="s">
        <v>1</v>
      </c>
      <c r="J41" s="40" t="s">
        <v>20</v>
      </c>
      <c r="K41" s="44"/>
    </row>
    <row r="42" spans="1:11" ht="24.95" customHeight="1" x14ac:dyDescent="0.2">
      <c r="A42" s="6">
        <v>52</v>
      </c>
      <c r="B42" s="6" t="s">
        <v>111</v>
      </c>
      <c r="C42" s="6" t="s">
        <v>113</v>
      </c>
      <c r="D42" s="42" t="s">
        <v>987</v>
      </c>
      <c r="E42" s="38" t="s">
        <v>644</v>
      </c>
      <c r="F42" s="49">
        <v>4.5</v>
      </c>
      <c r="G42" s="40" t="s">
        <v>9</v>
      </c>
      <c r="H42" s="36" t="s">
        <v>607</v>
      </c>
      <c r="I42" s="36" t="s">
        <v>1</v>
      </c>
      <c r="J42" s="40" t="s">
        <v>20</v>
      </c>
      <c r="K42" s="44"/>
    </row>
    <row r="43" spans="1:11" ht="24.95" customHeight="1" x14ac:dyDescent="0.2">
      <c r="A43" s="5">
        <v>63</v>
      </c>
      <c r="B43" s="6" t="s">
        <v>111</v>
      </c>
      <c r="C43" s="6" t="s">
        <v>113</v>
      </c>
      <c r="D43" s="42" t="s">
        <v>988</v>
      </c>
      <c r="E43" s="38" t="s">
        <v>989</v>
      </c>
      <c r="F43" s="49">
        <v>7.25</v>
      </c>
      <c r="G43" s="40" t="s">
        <v>9</v>
      </c>
      <c r="H43" s="36" t="s">
        <v>607</v>
      </c>
      <c r="I43" s="36" t="s">
        <v>1</v>
      </c>
      <c r="J43" s="40" t="s">
        <v>20</v>
      </c>
      <c r="K43" s="44"/>
    </row>
    <row r="44" spans="1:11" ht="24.95" customHeight="1" x14ac:dyDescent="0.2">
      <c r="A44" s="5">
        <v>81</v>
      </c>
      <c r="B44" s="6" t="s">
        <v>111</v>
      </c>
      <c r="C44" s="6" t="s">
        <v>114</v>
      </c>
      <c r="D44" s="42" t="s">
        <v>990</v>
      </c>
      <c r="E44" s="38" t="s">
        <v>660</v>
      </c>
      <c r="F44" s="49">
        <v>6.15</v>
      </c>
      <c r="G44" s="40" t="s">
        <v>9</v>
      </c>
      <c r="H44" s="36" t="s">
        <v>607</v>
      </c>
      <c r="I44" s="36" t="s">
        <v>1</v>
      </c>
      <c r="J44" s="40" t="s">
        <v>20</v>
      </c>
      <c r="K44" s="44"/>
    </row>
    <row r="45" spans="1:11" ht="24.95" customHeight="1" x14ac:dyDescent="0.2">
      <c r="A45" s="6">
        <v>82</v>
      </c>
      <c r="B45" s="6" t="s">
        <v>111</v>
      </c>
      <c r="C45" s="6" t="s">
        <v>114</v>
      </c>
      <c r="D45" s="42" t="s">
        <v>991</v>
      </c>
      <c r="E45" s="38" t="s">
        <v>644</v>
      </c>
      <c r="F45" s="49">
        <v>4.5</v>
      </c>
      <c r="G45" s="40" t="s">
        <v>9</v>
      </c>
      <c r="H45" s="36" t="s">
        <v>607</v>
      </c>
      <c r="I45" s="36" t="s">
        <v>1</v>
      </c>
      <c r="J45" s="62" t="s">
        <v>20</v>
      </c>
      <c r="K45" s="46"/>
    </row>
    <row r="46" spans="1:11" ht="24.95" customHeight="1" x14ac:dyDescent="0.2">
      <c r="A46" s="6">
        <v>274</v>
      </c>
      <c r="B46" s="6" t="s">
        <v>118</v>
      </c>
      <c r="C46" s="6" t="s">
        <v>112</v>
      </c>
      <c r="D46" s="42" t="s">
        <v>640</v>
      </c>
      <c r="E46" s="38" t="s">
        <v>641</v>
      </c>
      <c r="F46" s="49">
        <v>6.15</v>
      </c>
      <c r="G46" s="40" t="s">
        <v>9</v>
      </c>
      <c r="H46" s="40" t="s">
        <v>9</v>
      </c>
      <c r="I46" s="36" t="s">
        <v>8</v>
      </c>
      <c r="J46" s="40" t="s">
        <v>20</v>
      </c>
      <c r="K46" s="44"/>
    </row>
    <row r="47" spans="1:11" ht="24.95" customHeight="1" x14ac:dyDescent="0.2">
      <c r="A47" s="5">
        <v>275</v>
      </c>
      <c r="B47" s="6" t="s">
        <v>118</v>
      </c>
      <c r="C47" s="6" t="s">
        <v>112</v>
      </c>
      <c r="D47" s="42" t="s">
        <v>643</v>
      </c>
      <c r="E47" s="38" t="s">
        <v>644</v>
      </c>
      <c r="F47" s="50">
        <v>4.5</v>
      </c>
      <c r="G47" s="40" t="s">
        <v>9</v>
      </c>
      <c r="H47" s="40" t="s">
        <v>9</v>
      </c>
      <c r="I47" s="36" t="s">
        <v>8</v>
      </c>
      <c r="J47" s="40" t="s">
        <v>20</v>
      </c>
      <c r="K47" s="44"/>
    </row>
    <row r="48" spans="1:11" ht="24.95" customHeight="1" x14ac:dyDescent="0.2">
      <c r="A48" s="5">
        <v>9</v>
      </c>
      <c r="B48" s="6" t="s">
        <v>111</v>
      </c>
      <c r="C48" s="6" t="s">
        <v>112</v>
      </c>
      <c r="D48" s="42" t="s">
        <v>675</v>
      </c>
      <c r="E48" s="38" t="s">
        <v>676</v>
      </c>
      <c r="F48" s="49">
        <v>12.4</v>
      </c>
      <c r="G48" s="63">
        <v>2930</v>
      </c>
      <c r="H48" s="36" t="s">
        <v>603</v>
      </c>
      <c r="I48" s="36" t="s">
        <v>2</v>
      </c>
      <c r="J48" s="36" t="s">
        <v>677</v>
      </c>
      <c r="K48" s="46"/>
    </row>
    <row r="49" spans="1:11" ht="24.95" customHeight="1" x14ac:dyDescent="0.2">
      <c r="A49" s="6">
        <v>10</v>
      </c>
      <c r="B49" s="6" t="s">
        <v>111</v>
      </c>
      <c r="C49" s="6" t="s">
        <v>112</v>
      </c>
      <c r="D49" s="42" t="s">
        <v>678</v>
      </c>
      <c r="E49" s="38" t="s">
        <v>679</v>
      </c>
      <c r="F49" s="49">
        <v>100</v>
      </c>
      <c r="G49" s="63">
        <v>2930</v>
      </c>
      <c r="H49" s="36" t="s">
        <v>603</v>
      </c>
      <c r="I49" s="36" t="s">
        <v>2</v>
      </c>
      <c r="J49" s="36" t="s">
        <v>677</v>
      </c>
      <c r="K49" s="46"/>
    </row>
    <row r="50" spans="1:11" ht="24.95" customHeight="1" x14ac:dyDescent="0.2">
      <c r="A50" s="5">
        <v>11</v>
      </c>
      <c r="B50" s="6" t="s">
        <v>111</v>
      </c>
      <c r="C50" s="6" t="s">
        <v>112</v>
      </c>
      <c r="D50" s="42" t="s">
        <v>680</v>
      </c>
      <c r="E50" s="38" t="s">
        <v>679</v>
      </c>
      <c r="F50" s="49">
        <v>17.25</v>
      </c>
      <c r="G50" s="63">
        <v>2930</v>
      </c>
      <c r="H50" s="36" t="s">
        <v>603</v>
      </c>
      <c r="I50" s="36" t="s">
        <v>2</v>
      </c>
      <c r="J50" s="36" t="s">
        <v>677</v>
      </c>
      <c r="K50" s="46"/>
    </row>
    <row r="51" spans="1:11" ht="24.95" customHeight="1" x14ac:dyDescent="0.2">
      <c r="A51" s="5">
        <v>12</v>
      </c>
      <c r="B51" s="6" t="s">
        <v>111</v>
      </c>
      <c r="C51" s="6" t="s">
        <v>112</v>
      </c>
      <c r="D51" s="42" t="s">
        <v>681</v>
      </c>
      <c r="E51" s="38" t="s">
        <v>682</v>
      </c>
      <c r="F51" s="49">
        <v>24.1</v>
      </c>
      <c r="G51" s="63">
        <v>2930</v>
      </c>
      <c r="H51" s="36" t="s">
        <v>603</v>
      </c>
      <c r="I51" s="36" t="s">
        <v>2</v>
      </c>
      <c r="J51" s="36" t="s">
        <v>677</v>
      </c>
      <c r="K51" s="46"/>
    </row>
    <row r="52" spans="1:11" ht="24.95" customHeight="1" x14ac:dyDescent="0.2">
      <c r="A52" s="6">
        <v>13</v>
      </c>
      <c r="B52" s="6" t="s">
        <v>111</v>
      </c>
      <c r="C52" s="6" t="s">
        <v>112</v>
      </c>
      <c r="D52" s="42" t="s">
        <v>683</v>
      </c>
      <c r="E52" s="38" t="s">
        <v>684</v>
      </c>
      <c r="F52" s="49">
        <v>51.45</v>
      </c>
      <c r="G52" s="63">
        <v>2930</v>
      </c>
      <c r="H52" s="36" t="s">
        <v>603</v>
      </c>
      <c r="I52" s="36" t="s">
        <v>2</v>
      </c>
      <c r="J52" s="36" t="s">
        <v>677</v>
      </c>
      <c r="K52" s="46"/>
    </row>
    <row r="53" spans="1:11" ht="24.95" customHeight="1" x14ac:dyDescent="0.2">
      <c r="A53" s="5">
        <v>14</v>
      </c>
      <c r="B53" s="6" t="s">
        <v>111</v>
      </c>
      <c r="C53" s="6" t="s">
        <v>112</v>
      </c>
      <c r="D53" s="42" t="s">
        <v>685</v>
      </c>
      <c r="E53" s="38" t="s">
        <v>686</v>
      </c>
      <c r="F53" s="49">
        <v>21.75</v>
      </c>
      <c r="G53" s="63">
        <v>2930</v>
      </c>
      <c r="H53" s="36" t="s">
        <v>603</v>
      </c>
      <c r="I53" s="36" t="s">
        <v>3</v>
      </c>
      <c r="J53" s="36" t="s">
        <v>677</v>
      </c>
      <c r="K53" s="46"/>
    </row>
    <row r="54" spans="1:11" ht="24.95" customHeight="1" x14ac:dyDescent="0.2">
      <c r="A54" s="5">
        <v>15</v>
      </c>
      <c r="B54" s="6" t="s">
        <v>111</v>
      </c>
      <c r="C54" s="6" t="s">
        <v>112</v>
      </c>
      <c r="D54" s="64" t="s">
        <v>687</v>
      </c>
      <c r="E54" s="65" t="s">
        <v>688</v>
      </c>
      <c r="F54" s="66">
        <v>26.3</v>
      </c>
      <c r="G54" s="67">
        <v>2930</v>
      </c>
      <c r="H54" s="53" t="s">
        <v>603</v>
      </c>
      <c r="I54" s="53" t="s">
        <v>2</v>
      </c>
      <c r="J54" s="53" t="s">
        <v>677</v>
      </c>
      <c r="K54" s="68"/>
    </row>
    <row r="55" spans="1:11" x14ac:dyDescent="0.2">
      <c r="A55" s="6">
        <v>16</v>
      </c>
      <c r="B55" s="6" t="s">
        <v>111</v>
      </c>
      <c r="C55" s="6" t="s">
        <v>112</v>
      </c>
      <c r="D55" s="69" t="s">
        <v>689</v>
      </c>
      <c r="E55" s="31" t="s">
        <v>690</v>
      </c>
      <c r="F55" s="70">
        <v>21.65</v>
      </c>
      <c r="G55" s="71">
        <v>2930</v>
      </c>
      <c r="H55" s="34" t="s">
        <v>603</v>
      </c>
      <c r="I55" s="34" t="s">
        <v>2</v>
      </c>
      <c r="J55" s="34" t="s">
        <v>677</v>
      </c>
      <c r="K55" s="72"/>
    </row>
    <row r="56" spans="1:11" x14ac:dyDescent="0.2">
      <c r="A56" s="5">
        <v>17</v>
      </c>
      <c r="B56" s="6" t="s">
        <v>111</v>
      </c>
      <c r="C56" s="6" t="s">
        <v>112</v>
      </c>
      <c r="D56" s="42" t="s">
        <v>691</v>
      </c>
      <c r="E56" s="38" t="s">
        <v>692</v>
      </c>
      <c r="F56" s="49">
        <v>8.8000000000000007</v>
      </c>
      <c r="G56" s="63">
        <v>2930</v>
      </c>
      <c r="H56" s="36" t="s">
        <v>603</v>
      </c>
      <c r="I56" s="36" t="s">
        <v>2</v>
      </c>
      <c r="J56" s="36" t="s">
        <v>677</v>
      </c>
      <c r="K56" s="46"/>
    </row>
    <row r="57" spans="1:11" x14ac:dyDescent="0.2">
      <c r="A57" s="5">
        <v>18</v>
      </c>
      <c r="B57" s="6" t="s">
        <v>111</v>
      </c>
      <c r="C57" s="6" t="s">
        <v>112</v>
      </c>
      <c r="D57" s="42" t="s">
        <v>693</v>
      </c>
      <c r="E57" s="38" t="s">
        <v>694</v>
      </c>
      <c r="F57" s="49">
        <v>8.8000000000000007</v>
      </c>
      <c r="G57" s="63">
        <v>2930</v>
      </c>
      <c r="H57" s="36" t="s">
        <v>603</v>
      </c>
      <c r="I57" s="36" t="s">
        <v>2</v>
      </c>
      <c r="J57" s="36" t="s">
        <v>677</v>
      </c>
      <c r="K57" s="46"/>
    </row>
    <row r="58" spans="1:11" x14ac:dyDescent="0.2">
      <c r="A58" s="6">
        <v>19</v>
      </c>
      <c r="B58" s="6" t="s">
        <v>111</v>
      </c>
      <c r="C58" s="6" t="s">
        <v>112</v>
      </c>
      <c r="D58" s="42" t="s">
        <v>695</v>
      </c>
      <c r="E58" s="38" t="s">
        <v>696</v>
      </c>
      <c r="F58" s="49">
        <v>23.15</v>
      </c>
      <c r="G58" s="63">
        <v>3505</v>
      </c>
      <c r="H58" s="36" t="s">
        <v>603</v>
      </c>
      <c r="I58" s="36" t="s">
        <v>2</v>
      </c>
      <c r="J58" s="36" t="s">
        <v>677</v>
      </c>
      <c r="K58" s="46"/>
    </row>
    <row r="59" spans="1:11" x14ac:dyDescent="0.2">
      <c r="A59" s="5">
        <v>20</v>
      </c>
      <c r="B59" s="6" t="s">
        <v>111</v>
      </c>
      <c r="C59" s="6" t="s">
        <v>112</v>
      </c>
      <c r="D59" s="42" t="s">
        <v>697</v>
      </c>
      <c r="E59" s="38" t="s">
        <v>698</v>
      </c>
      <c r="F59" s="49">
        <v>24.6</v>
      </c>
      <c r="G59" s="63">
        <v>2930</v>
      </c>
      <c r="H59" s="36" t="s">
        <v>603</v>
      </c>
      <c r="I59" s="36" t="s">
        <v>2</v>
      </c>
      <c r="J59" s="36" t="s">
        <v>677</v>
      </c>
      <c r="K59" s="46"/>
    </row>
    <row r="60" spans="1:11" x14ac:dyDescent="0.2">
      <c r="A60" s="5">
        <v>33</v>
      </c>
      <c r="B60" s="6" t="s">
        <v>111</v>
      </c>
      <c r="C60" s="6" t="s">
        <v>112</v>
      </c>
      <c r="D60" s="42" t="s">
        <v>1007</v>
      </c>
      <c r="E60" s="38" t="s">
        <v>679</v>
      </c>
      <c r="F60" s="49">
        <v>34.65</v>
      </c>
      <c r="G60" s="61" t="s">
        <v>14</v>
      </c>
      <c r="H60" s="36" t="s">
        <v>609</v>
      </c>
      <c r="I60" s="36" t="s">
        <v>2</v>
      </c>
      <c r="J60" s="36" t="s">
        <v>677</v>
      </c>
      <c r="K60" s="46"/>
    </row>
    <row r="61" spans="1:11" x14ac:dyDescent="0.2">
      <c r="A61" s="6">
        <v>34</v>
      </c>
      <c r="B61" s="6" t="s">
        <v>111</v>
      </c>
      <c r="C61" s="6" t="s">
        <v>112</v>
      </c>
      <c r="D61" s="42" t="s">
        <v>980</v>
      </c>
      <c r="E61" s="38" t="s">
        <v>981</v>
      </c>
      <c r="F61" s="49">
        <v>4.3</v>
      </c>
      <c r="G61" s="63">
        <v>3600</v>
      </c>
      <c r="H61" s="36" t="s">
        <v>607</v>
      </c>
      <c r="I61" s="40" t="s">
        <v>7</v>
      </c>
      <c r="J61" s="36" t="s">
        <v>677</v>
      </c>
      <c r="K61" s="46"/>
    </row>
    <row r="62" spans="1:11" x14ac:dyDescent="0.2">
      <c r="A62" s="5">
        <v>35</v>
      </c>
      <c r="B62" s="6" t="s">
        <v>111</v>
      </c>
      <c r="C62" s="6" t="s">
        <v>112</v>
      </c>
      <c r="D62" s="42" t="s">
        <v>982</v>
      </c>
      <c r="E62" s="38" t="s">
        <v>983</v>
      </c>
      <c r="F62" s="49">
        <v>8.9</v>
      </c>
      <c r="G62" s="63">
        <v>3600</v>
      </c>
      <c r="H62" s="36" t="s">
        <v>607</v>
      </c>
      <c r="I62" s="40" t="s">
        <v>7</v>
      </c>
      <c r="J62" s="36" t="s">
        <v>677</v>
      </c>
      <c r="K62" s="46"/>
    </row>
    <row r="63" spans="1:11" x14ac:dyDescent="0.2">
      <c r="A63" s="5">
        <v>36</v>
      </c>
      <c r="B63" s="6" t="s">
        <v>111</v>
      </c>
      <c r="C63" s="6" t="s">
        <v>112</v>
      </c>
      <c r="D63" s="42" t="s">
        <v>1008</v>
      </c>
      <c r="E63" s="38" t="s">
        <v>1009</v>
      </c>
      <c r="F63" s="49">
        <v>18.2</v>
      </c>
      <c r="G63" s="63">
        <v>3600</v>
      </c>
      <c r="H63" s="36" t="s">
        <v>609</v>
      </c>
      <c r="I63" s="36" t="s">
        <v>2</v>
      </c>
      <c r="J63" s="36" t="s">
        <v>677</v>
      </c>
      <c r="K63" s="46"/>
    </row>
    <row r="64" spans="1:11" x14ac:dyDescent="0.2">
      <c r="A64" s="6">
        <v>37</v>
      </c>
      <c r="B64" s="6" t="s">
        <v>111</v>
      </c>
      <c r="C64" s="6" t="s">
        <v>112</v>
      </c>
      <c r="D64" s="42" t="s">
        <v>1010</v>
      </c>
      <c r="E64" s="38" t="s">
        <v>1011</v>
      </c>
      <c r="F64" s="49">
        <v>45.65</v>
      </c>
      <c r="G64" s="63">
        <v>2800</v>
      </c>
      <c r="H64" s="36" t="s">
        <v>609</v>
      </c>
      <c r="I64" s="36" t="s">
        <v>2</v>
      </c>
      <c r="J64" s="36" t="s">
        <v>677</v>
      </c>
      <c r="K64" s="46"/>
    </row>
    <row r="65" spans="1:11" x14ac:dyDescent="0.2">
      <c r="A65" s="5">
        <v>53</v>
      </c>
      <c r="B65" s="6" t="s">
        <v>111</v>
      </c>
      <c r="C65" s="6" t="s">
        <v>113</v>
      </c>
      <c r="D65" s="42" t="s">
        <v>707</v>
      </c>
      <c r="E65" s="38" t="s">
        <v>679</v>
      </c>
      <c r="F65" s="49">
        <v>113.85</v>
      </c>
      <c r="G65" s="63">
        <v>2930</v>
      </c>
      <c r="H65" s="36" t="s">
        <v>603</v>
      </c>
      <c r="I65" s="36" t="s">
        <v>2</v>
      </c>
      <c r="J65" s="36" t="s">
        <v>677</v>
      </c>
      <c r="K65" s="46"/>
    </row>
    <row r="66" spans="1:11" x14ac:dyDescent="0.2">
      <c r="A66" s="5">
        <v>54</v>
      </c>
      <c r="B66" s="6" t="s">
        <v>111</v>
      </c>
      <c r="C66" s="6" t="s">
        <v>113</v>
      </c>
      <c r="D66" s="42" t="s">
        <v>708</v>
      </c>
      <c r="E66" s="38" t="s">
        <v>679</v>
      </c>
      <c r="F66" s="49">
        <v>25.8</v>
      </c>
      <c r="G66" s="63">
        <v>2930</v>
      </c>
      <c r="H66" s="36" t="s">
        <v>603</v>
      </c>
      <c r="I66" s="36" t="s">
        <v>2</v>
      </c>
      <c r="J66" s="36" t="s">
        <v>677</v>
      </c>
      <c r="K66" s="46"/>
    </row>
    <row r="67" spans="1:11" x14ac:dyDescent="0.2">
      <c r="A67" s="6">
        <v>55</v>
      </c>
      <c r="B67" s="6" t="s">
        <v>111</v>
      </c>
      <c r="C67" s="6" t="s">
        <v>113</v>
      </c>
      <c r="D67" s="42" t="s">
        <v>709</v>
      </c>
      <c r="E67" s="38" t="s">
        <v>679</v>
      </c>
      <c r="F67" s="49">
        <v>22.95</v>
      </c>
      <c r="G67" s="63">
        <v>2930</v>
      </c>
      <c r="H67" s="36" t="s">
        <v>603</v>
      </c>
      <c r="I67" s="36" t="s">
        <v>2</v>
      </c>
      <c r="J67" s="36" t="s">
        <v>677</v>
      </c>
      <c r="K67" s="46"/>
    </row>
    <row r="68" spans="1:11" x14ac:dyDescent="0.2">
      <c r="A68" s="5">
        <v>56</v>
      </c>
      <c r="B68" s="6" t="s">
        <v>111</v>
      </c>
      <c r="C68" s="6" t="s">
        <v>113</v>
      </c>
      <c r="D68" s="42" t="s">
        <v>710</v>
      </c>
      <c r="E68" s="38" t="s">
        <v>711</v>
      </c>
      <c r="F68" s="49">
        <v>18.45</v>
      </c>
      <c r="G68" s="63">
        <v>2930</v>
      </c>
      <c r="H68" s="36" t="s">
        <v>603</v>
      </c>
      <c r="I68" s="36" t="s">
        <v>3</v>
      </c>
      <c r="J68" s="36" t="s">
        <v>677</v>
      </c>
      <c r="K68" s="46"/>
    </row>
    <row r="69" spans="1:11" x14ac:dyDescent="0.2">
      <c r="A69" s="5">
        <v>59</v>
      </c>
      <c r="B69" s="6" t="s">
        <v>111</v>
      </c>
      <c r="C69" s="6" t="s">
        <v>113</v>
      </c>
      <c r="D69" s="42" t="s">
        <v>714</v>
      </c>
      <c r="E69" s="38" t="s">
        <v>715</v>
      </c>
      <c r="F69" s="49">
        <v>44.45</v>
      </c>
      <c r="G69" s="63">
        <v>2930</v>
      </c>
      <c r="H69" s="36" t="s">
        <v>603</v>
      </c>
      <c r="I69" s="36" t="s">
        <v>2</v>
      </c>
      <c r="J69" s="36" t="s">
        <v>677</v>
      </c>
      <c r="K69" s="46"/>
    </row>
    <row r="70" spans="1:11" x14ac:dyDescent="0.2">
      <c r="A70" s="5">
        <v>60</v>
      </c>
      <c r="B70" s="6" t="s">
        <v>111</v>
      </c>
      <c r="C70" s="6" t="s">
        <v>113</v>
      </c>
      <c r="D70" s="42" t="s">
        <v>716</v>
      </c>
      <c r="E70" s="38" t="s">
        <v>686</v>
      </c>
      <c r="F70" s="49">
        <v>24.05</v>
      </c>
      <c r="G70" s="63">
        <v>2930</v>
      </c>
      <c r="H70" s="36" t="s">
        <v>603</v>
      </c>
      <c r="I70" s="36" t="s">
        <v>2</v>
      </c>
      <c r="J70" s="36" t="s">
        <v>677</v>
      </c>
      <c r="K70" s="46"/>
    </row>
    <row r="71" spans="1:11" ht="30" x14ac:dyDescent="0.2">
      <c r="A71" s="6">
        <v>61</v>
      </c>
      <c r="B71" s="6" t="s">
        <v>111</v>
      </c>
      <c r="C71" s="6" t="s">
        <v>113</v>
      </c>
      <c r="D71" s="42" t="s">
        <v>717</v>
      </c>
      <c r="E71" s="38" t="s">
        <v>718</v>
      </c>
      <c r="F71" s="49">
        <v>82.55</v>
      </c>
      <c r="G71" s="63">
        <v>2930</v>
      </c>
      <c r="H71" s="36" t="s">
        <v>603</v>
      </c>
      <c r="I71" s="36" t="s">
        <v>2</v>
      </c>
      <c r="J71" s="36" t="s">
        <v>677</v>
      </c>
      <c r="K71" s="46"/>
    </row>
    <row r="72" spans="1:11" x14ac:dyDescent="0.2">
      <c r="A72" s="5">
        <v>62</v>
      </c>
      <c r="B72" s="6" t="s">
        <v>111</v>
      </c>
      <c r="C72" s="6" t="s">
        <v>113</v>
      </c>
      <c r="D72" s="42" t="s">
        <v>719</v>
      </c>
      <c r="E72" s="38" t="s">
        <v>720</v>
      </c>
      <c r="F72" s="49">
        <v>15.55</v>
      </c>
      <c r="G72" s="63">
        <v>2400</v>
      </c>
      <c r="H72" s="36" t="s">
        <v>603</v>
      </c>
      <c r="I72" s="36" t="s">
        <v>2</v>
      </c>
      <c r="J72" s="36" t="s">
        <v>677</v>
      </c>
      <c r="K72" s="46"/>
    </row>
    <row r="73" spans="1:11" x14ac:dyDescent="0.2">
      <c r="A73" s="6">
        <v>64</v>
      </c>
      <c r="B73" s="6" t="s">
        <v>111</v>
      </c>
      <c r="C73" s="6" t="s">
        <v>113</v>
      </c>
      <c r="D73" s="42" t="s">
        <v>721</v>
      </c>
      <c r="E73" s="38" t="s">
        <v>722</v>
      </c>
      <c r="F73" s="49">
        <v>12.1</v>
      </c>
      <c r="G73" s="63">
        <v>2930</v>
      </c>
      <c r="H73" s="36" t="s">
        <v>603</v>
      </c>
      <c r="I73" s="36" t="s">
        <v>2</v>
      </c>
      <c r="J73" s="74" t="s">
        <v>20</v>
      </c>
      <c r="K73" s="46"/>
    </row>
    <row r="74" spans="1:11" x14ac:dyDescent="0.2">
      <c r="A74" s="5">
        <v>83</v>
      </c>
      <c r="B74" s="6" t="s">
        <v>111</v>
      </c>
      <c r="C74" s="6" t="s">
        <v>114</v>
      </c>
      <c r="D74" s="42" t="s">
        <v>724</v>
      </c>
      <c r="E74" s="38" t="s">
        <v>679</v>
      </c>
      <c r="F74" s="49">
        <v>51.1</v>
      </c>
      <c r="G74" s="63">
        <v>2930</v>
      </c>
      <c r="H74" s="36" t="s">
        <v>603</v>
      </c>
      <c r="I74" s="36" t="s">
        <v>3</v>
      </c>
      <c r="J74" s="36" t="s">
        <v>677</v>
      </c>
      <c r="K74" s="46"/>
    </row>
    <row r="75" spans="1:11" x14ac:dyDescent="0.2">
      <c r="A75" s="5">
        <v>84</v>
      </c>
      <c r="B75" s="6" t="s">
        <v>111</v>
      </c>
      <c r="C75" s="6" t="s">
        <v>114</v>
      </c>
      <c r="D75" s="42" t="s">
        <v>725</v>
      </c>
      <c r="E75" s="38" t="s">
        <v>726</v>
      </c>
      <c r="F75" s="49">
        <v>10.1</v>
      </c>
      <c r="G75" s="63">
        <v>2400</v>
      </c>
      <c r="H75" s="36" t="s">
        <v>603</v>
      </c>
      <c r="I75" s="36" t="s">
        <v>3</v>
      </c>
      <c r="J75" s="36" t="s">
        <v>677</v>
      </c>
      <c r="K75" s="46"/>
    </row>
    <row r="76" spans="1:11" ht="30" x14ac:dyDescent="0.2">
      <c r="A76" s="6">
        <v>85</v>
      </c>
      <c r="B76" s="6" t="s">
        <v>111</v>
      </c>
      <c r="C76" s="6" t="s">
        <v>114</v>
      </c>
      <c r="D76" s="42" t="s">
        <v>727</v>
      </c>
      <c r="E76" s="76" t="s">
        <v>728</v>
      </c>
      <c r="F76" s="49">
        <v>29.8</v>
      </c>
      <c r="G76" s="63">
        <v>2930</v>
      </c>
      <c r="H76" s="36" t="s">
        <v>603</v>
      </c>
      <c r="I76" s="36" t="s">
        <v>2</v>
      </c>
      <c r="J76" s="36" t="s">
        <v>677</v>
      </c>
      <c r="K76" s="46"/>
    </row>
    <row r="77" spans="1:11" x14ac:dyDescent="0.2">
      <c r="A77" s="5">
        <v>86</v>
      </c>
      <c r="B77" s="6" t="s">
        <v>111</v>
      </c>
      <c r="C77" s="6" t="s">
        <v>114</v>
      </c>
      <c r="D77" s="42" t="s">
        <v>729</v>
      </c>
      <c r="E77" s="38" t="s">
        <v>730</v>
      </c>
      <c r="F77" s="75">
        <v>38.6</v>
      </c>
      <c r="G77" s="63">
        <v>2930</v>
      </c>
      <c r="H77" s="36" t="s">
        <v>603</v>
      </c>
      <c r="I77" s="36" t="s">
        <v>2</v>
      </c>
      <c r="J77" s="36" t="s">
        <v>677</v>
      </c>
      <c r="K77" s="46"/>
    </row>
    <row r="78" spans="1:11" x14ac:dyDescent="0.2">
      <c r="A78" s="5">
        <v>87</v>
      </c>
      <c r="B78" s="6" t="s">
        <v>111</v>
      </c>
      <c r="C78" s="6" t="s">
        <v>114</v>
      </c>
      <c r="D78" s="42" t="s">
        <v>731</v>
      </c>
      <c r="E78" s="38" t="s">
        <v>732</v>
      </c>
      <c r="F78" s="49">
        <v>29.65</v>
      </c>
      <c r="G78" s="63">
        <v>2930</v>
      </c>
      <c r="H78" s="36" t="s">
        <v>603</v>
      </c>
      <c r="I78" s="36" t="s">
        <v>2</v>
      </c>
      <c r="J78" s="36" t="s">
        <v>677</v>
      </c>
      <c r="K78" s="46"/>
    </row>
    <row r="79" spans="1:11" x14ac:dyDescent="0.2">
      <c r="A79" s="5">
        <v>89</v>
      </c>
      <c r="B79" s="6" t="s">
        <v>111</v>
      </c>
      <c r="C79" s="6" t="s">
        <v>114</v>
      </c>
      <c r="D79" s="64" t="s">
        <v>735</v>
      </c>
      <c r="E79" s="65" t="s">
        <v>686</v>
      </c>
      <c r="F79" s="66">
        <v>18.7</v>
      </c>
      <c r="G79" s="67">
        <v>2930</v>
      </c>
      <c r="H79" s="53" t="s">
        <v>603</v>
      </c>
      <c r="I79" s="53" t="s">
        <v>3</v>
      </c>
      <c r="J79" s="53" t="s">
        <v>677</v>
      </c>
      <c r="K79" s="68"/>
    </row>
    <row r="80" spans="1:11" x14ac:dyDescent="0.2">
      <c r="A80" s="5">
        <v>161</v>
      </c>
      <c r="B80" s="6" t="s">
        <v>116</v>
      </c>
      <c r="C80" s="6" t="s">
        <v>113</v>
      </c>
      <c r="D80" s="69" t="s">
        <v>628</v>
      </c>
      <c r="E80" s="31" t="s">
        <v>629</v>
      </c>
      <c r="F80" s="151">
        <v>7.25</v>
      </c>
      <c r="G80" s="33" t="s">
        <v>9</v>
      </c>
      <c r="H80" s="33" t="s">
        <v>9</v>
      </c>
      <c r="I80" s="34" t="s">
        <v>8</v>
      </c>
      <c r="J80" s="34" t="s">
        <v>630</v>
      </c>
      <c r="K80" s="72"/>
    </row>
    <row r="81" spans="1:11" x14ac:dyDescent="0.2">
      <c r="A81" s="5">
        <v>170</v>
      </c>
      <c r="B81" s="6" t="s">
        <v>116</v>
      </c>
      <c r="C81" s="6" t="s">
        <v>113</v>
      </c>
      <c r="D81" s="42" t="s">
        <v>634</v>
      </c>
      <c r="E81" s="38" t="s">
        <v>635</v>
      </c>
      <c r="F81" s="43">
        <v>4.05</v>
      </c>
      <c r="G81" s="40" t="s">
        <v>9</v>
      </c>
      <c r="H81" s="47" t="s">
        <v>9</v>
      </c>
      <c r="I81" s="36" t="s">
        <v>47</v>
      </c>
      <c r="J81" s="47" t="s">
        <v>20</v>
      </c>
      <c r="K81" s="46"/>
    </row>
    <row r="82" spans="1:11" x14ac:dyDescent="0.2">
      <c r="A82" s="6">
        <v>205</v>
      </c>
      <c r="B82" s="6" t="s">
        <v>116</v>
      </c>
      <c r="C82" s="6" t="s">
        <v>113</v>
      </c>
      <c r="D82" s="42" t="s">
        <v>1003</v>
      </c>
      <c r="E82" s="38" t="s">
        <v>1004</v>
      </c>
      <c r="F82" s="114">
        <v>10.1</v>
      </c>
      <c r="G82" s="115">
        <v>1410</v>
      </c>
      <c r="H82" s="36" t="s">
        <v>1005</v>
      </c>
      <c r="I82" s="36" t="s">
        <v>8</v>
      </c>
      <c r="J82" s="36" t="s">
        <v>1006</v>
      </c>
      <c r="K82" s="46"/>
    </row>
    <row r="83" spans="1:11" ht="30" x14ac:dyDescent="0.2">
      <c r="A83" s="5">
        <v>264</v>
      </c>
      <c r="B83" s="6" t="s">
        <v>116</v>
      </c>
      <c r="C83" s="6" t="s">
        <v>117</v>
      </c>
      <c r="D83" s="42" t="s">
        <v>744</v>
      </c>
      <c r="E83" s="38" t="s">
        <v>745</v>
      </c>
      <c r="F83" s="39">
        <v>121.5</v>
      </c>
      <c r="G83" s="78">
        <v>3365</v>
      </c>
      <c r="H83" s="36" t="s">
        <v>1303</v>
      </c>
      <c r="I83" s="40" t="s">
        <v>84</v>
      </c>
      <c r="J83" s="36" t="s">
        <v>671</v>
      </c>
      <c r="K83" s="79"/>
    </row>
    <row r="84" spans="1:11" x14ac:dyDescent="0.2">
      <c r="A84" s="5">
        <v>293</v>
      </c>
      <c r="B84" s="6" t="s">
        <v>118</v>
      </c>
      <c r="C84" s="6" t="s">
        <v>112</v>
      </c>
      <c r="D84" s="42" t="s">
        <v>1263</v>
      </c>
      <c r="E84" s="38" t="s">
        <v>1254</v>
      </c>
      <c r="F84" s="50">
        <v>47.7</v>
      </c>
      <c r="G84" s="36">
        <v>2910</v>
      </c>
      <c r="H84" s="36" t="s">
        <v>1264</v>
      </c>
      <c r="I84" s="36" t="s">
        <v>92</v>
      </c>
      <c r="J84" s="36" t="s">
        <v>677</v>
      </c>
      <c r="K84" s="46"/>
    </row>
    <row r="85" spans="1:11" ht="45" x14ac:dyDescent="0.2">
      <c r="A85" s="5">
        <v>294</v>
      </c>
      <c r="B85" s="6" t="s">
        <v>118</v>
      </c>
      <c r="C85" s="6" t="s">
        <v>112</v>
      </c>
      <c r="D85" s="42" t="s">
        <v>1250</v>
      </c>
      <c r="E85" s="38" t="s">
        <v>1242</v>
      </c>
      <c r="F85" s="49">
        <v>27.6</v>
      </c>
      <c r="G85" s="63">
        <v>2910</v>
      </c>
      <c r="H85" s="137" t="s">
        <v>93</v>
      </c>
      <c r="I85" s="36" t="s">
        <v>92</v>
      </c>
      <c r="J85" s="36" t="s">
        <v>677</v>
      </c>
      <c r="K85" s="46"/>
    </row>
    <row r="86" spans="1:11" x14ac:dyDescent="0.2">
      <c r="A86" s="5">
        <v>332</v>
      </c>
      <c r="B86" s="6" t="s">
        <v>118</v>
      </c>
      <c r="C86" s="6" t="s">
        <v>113</v>
      </c>
      <c r="D86" s="42" t="s">
        <v>1265</v>
      </c>
      <c r="E86" s="38" t="s">
        <v>1254</v>
      </c>
      <c r="F86" s="50">
        <v>49.85</v>
      </c>
      <c r="G86" s="63">
        <v>2910</v>
      </c>
      <c r="H86" s="36" t="s">
        <v>1266</v>
      </c>
      <c r="I86" s="36" t="s">
        <v>92</v>
      </c>
      <c r="J86" s="36" t="s">
        <v>677</v>
      </c>
      <c r="K86" s="101"/>
    </row>
    <row r="87" spans="1:11" ht="75" x14ac:dyDescent="0.2">
      <c r="A87" s="5">
        <v>333</v>
      </c>
      <c r="B87" s="6" t="s">
        <v>118</v>
      </c>
      <c r="C87" s="6" t="s">
        <v>113</v>
      </c>
      <c r="D87" s="42" t="s">
        <v>1249</v>
      </c>
      <c r="E87" s="38" t="s">
        <v>1242</v>
      </c>
      <c r="F87" s="49">
        <v>28.4</v>
      </c>
      <c r="G87" s="63">
        <v>2910</v>
      </c>
      <c r="H87" s="137" t="s">
        <v>99</v>
      </c>
      <c r="I87" s="36" t="s">
        <v>92</v>
      </c>
      <c r="J87" s="36" t="s">
        <v>677</v>
      </c>
      <c r="K87" s="101" t="s">
        <v>100</v>
      </c>
    </row>
    <row r="88" spans="1:11" ht="45" x14ac:dyDescent="0.2">
      <c r="A88" s="6">
        <v>367</v>
      </c>
      <c r="B88" s="6" t="s">
        <v>118</v>
      </c>
      <c r="C88" s="6" t="s">
        <v>114</v>
      </c>
      <c r="D88" s="42" t="s">
        <v>668</v>
      </c>
      <c r="E88" s="38" t="s">
        <v>669</v>
      </c>
      <c r="F88" s="39">
        <v>41.9</v>
      </c>
      <c r="G88" s="78">
        <v>2910</v>
      </c>
      <c r="H88" s="36" t="s">
        <v>670</v>
      </c>
      <c r="I88" s="36" t="s">
        <v>102</v>
      </c>
      <c r="J88" s="36" t="s">
        <v>671</v>
      </c>
      <c r="K88" s="46"/>
    </row>
    <row r="89" spans="1:11" x14ac:dyDescent="0.2">
      <c r="A89" s="5">
        <v>401</v>
      </c>
      <c r="B89" s="6" t="s">
        <v>119</v>
      </c>
      <c r="C89" s="6" t="s">
        <v>112</v>
      </c>
      <c r="D89" s="42" t="s">
        <v>1251</v>
      </c>
      <c r="E89" s="38" t="s">
        <v>669</v>
      </c>
      <c r="F89" s="39">
        <v>21.5</v>
      </c>
      <c r="G89" s="78">
        <v>2910</v>
      </c>
      <c r="H89" s="36" t="s">
        <v>1252</v>
      </c>
      <c r="I89" s="36" t="s">
        <v>92</v>
      </c>
      <c r="J89" s="36" t="s">
        <v>671</v>
      </c>
      <c r="K89" s="46"/>
    </row>
    <row r="90" spans="1:11" ht="30" x14ac:dyDescent="0.2">
      <c r="A90" s="5">
        <v>402</v>
      </c>
      <c r="B90" s="6" t="s">
        <v>119</v>
      </c>
      <c r="C90" s="6" t="s">
        <v>112</v>
      </c>
      <c r="D90" s="42" t="s">
        <v>1238</v>
      </c>
      <c r="E90" s="38" t="s">
        <v>1239</v>
      </c>
      <c r="F90" s="39">
        <v>27</v>
      </c>
      <c r="G90" s="78">
        <v>2910</v>
      </c>
      <c r="H90" s="36" t="s">
        <v>1240</v>
      </c>
      <c r="I90" s="36" t="s">
        <v>92</v>
      </c>
      <c r="J90" s="36" t="s">
        <v>671</v>
      </c>
      <c r="K90" s="46" t="s">
        <v>105</v>
      </c>
    </row>
    <row r="91" spans="1:11" x14ac:dyDescent="0.2">
      <c r="A91" s="5">
        <v>440</v>
      </c>
      <c r="B91" s="6" t="s">
        <v>119</v>
      </c>
      <c r="C91" s="6" t="s">
        <v>113</v>
      </c>
      <c r="D91" s="42" t="s">
        <v>1253</v>
      </c>
      <c r="E91" s="38" t="s">
        <v>1254</v>
      </c>
      <c r="F91" s="52">
        <v>22.45</v>
      </c>
      <c r="G91" s="63">
        <v>2910</v>
      </c>
      <c r="H91" s="36" t="s">
        <v>1255</v>
      </c>
      <c r="I91" s="36" t="s">
        <v>92</v>
      </c>
      <c r="J91" s="36" t="s">
        <v>677</v>
      </c>
      <c r="K91" s="46"/>
    </row>
    <row r="92" spans="1:11" ht="30" x14ac:dyDescent="0.2">
      <c r="A92" s="5">
        <v>441</v>
      </c>
      <c r="B92" s="6" t="s">
        <v>119</v>
      </c>
      <c r="C92" s="6" t="s">
        <v>113</v>
      </c>
      <c r="D92" s="42" t="s">
        <v>1241</v>
      </c>
      <c r="E92" s="38" t="s">
        <v>1242</v>
      </c>
      <c r="F92" s="52">
        <v>27.8</v>
      </c>
      <c r="G92" s="63">
        <v>2910</v>
      </c>
      <c r="H92" s="36" t="s">
        <v>1243</v>
      </c>
      <c r="I92" s="36" t="s">
        <v>92</v>
      </c>
      <c r="J92" s="36" t="s">
        <v>677</v>
      </c>
      <c r="K92" s="46" t="s">
        <v>107</v>
      </c>
    </row>
    <row r="93" spans="1:11" x14ac:dyDescent="0.2">
      <c r="A93" s="5">
        <v>480</v>
      </c>
      <c r="B93" s="6" t="s">
        <v>119</v>
      </c>
      <c r="C93" s="6" t="s">
        <v>114</v>
      </c>
      <c r="D93" s="42" t="s">
        <v>1256</v>
      </c>
      <c r="E93" s="38" t="s">
        <v>1254</v>
      </c>
      <c r="F93" s="49">
        <v>21.5</v>
      </c>
      <c r="G93" s="63">
        <v>2910</v>
      </c>
      <c r="H93" s="36" t="s">
        <v>1255</v>
      </c>
      <c r="I93" s="36" t="s">
        <v>92</v>
      </c>
      <c r="J93" s="36" t="s">
        <v>677</v>
      </c>
      <c r="K93" s="46"/>
    </row>
    <row r="94" spans="1:11" ht="45" x14ac:dyDescent="0.2">
      <c r="A94" s="6">
        <v>481</v>
      </c>
      <c r="B94" s="6" t="s">
        <v>119</v>
      </c>
      <c r="C94" s="6" t="s">
        <v>114</v>
      </c>
      <c r="D94" s="42" t="s">
        <v>1267</v>
      </c>
      <c r="E94" s="38" t="s">
        <v>1242</v>
      </c>
      <c r="F94" s="49">
        <v>28.45</v>
      </c>
      <c r="G94" s="63">
        <v>2910</v>
      </c>
      <c r="H94" s="36" t="s">
        <v>1268</v>
      </c>
      <c r="I94" s="36" t="s">
        <v>92</v>
      </c>
      <c r="J94" s="36" t="s">
        <v>677</v>
      </c>
      <c r="K94" s="46"/>
    </row>
    <row r="95" spans="1:11" x14ac:dyDescent="0.2">
      <c r="A95" s="5">
        <v>521</v>
      </c>
      <c r="B95" s="6" t="s">
        <v>120</v>
      </c>
      <c r="C95" s="6" t="s">
        <v>112</v>
      </c>
      <c r="D95" s="42" t="s">
        <v>1257</v>
      </c>
      <c r="E95" s="38" t="s">
        <v>1254</v>
      </c>
      <c r="F95" s="49">
        <v>21.5</v>
      </c>
      <c r="G95" s="63">
        <v>2910</v>
      </c>
      <c r="H95" s="36" t="s">
        <v>1255</v>
      </c>
      <c r="I95" s="36" t="s">
        <v>92</v>
      </c>
      <c r="J95" s="36" t="s">
        <v>677</v>
      </c>
      <c r="K95" s="101"/>
    </row>
    <row r="96" spans="1:11" ht="30" x14ac:dyDescent="0.2">
      <c r="A96" s="5">
        <v>522</v>
      </c>
      <c r="B96" s="6" t="s">
        <v>120</v>
      </c>
      <c r="C96" s="6" t="s">
        <v>112</v>
      </c>
      <c r="D96" s="42" t="s">
        <v>1244</v>
      </c>
      <c r="E96" s="38" t="s">
        <v>1242</v>
      </c>
      <c r="F96" s="49">
        <v>27</v>
      </c>
      <c r="G96" s="63">
        <v>2910</v>
      </c>
      <c r="H96" s="137" t="s">
        <v>110</v>
      </c>
      <c r="I96" s="36" t="s">
        <v>92</v>
      </c>
      <c r="J96" s="36" t="s">
        <v>677</v>
      </c>
      <c r="K96" s="101" t="s">
        <v>107</v>
      </c>
    </row>
    <row r="97" spans="1:11" x14ac:dyDescent="0.2">
      <c r="A97" s="5">
        <v>560</v>
      </c>
      <c r="B97" s="6" t="s">
        <v>120</v>
      </c>
      <c r="C97" s="6" t="s">
        <v>113</v>
      </c>
      <c r="D97" s="42" t="s">
        <v>1258</v>
      </c>
      <c r="E97" s="38" t="s">
        <v>1254</v>
      </c>
      <c r="F97" s="49">
        <v>22.45</v>
      </c>
      <c r="G97" s="63">
        <v>2910</v>
      </c>
      <c r="H97" s="36" t="s">
        <v>1255</v>
      </c>
      <c r="I97" s="36" t="s">
        <v>92</v>
      </c>
      <c r="J97" s="36" t="s">
        <v>677</v>
      </c>
      <c r="K97" s="46"/>
    </row>
    <row r="98" spans="1:11" ht="30" x14ac:dyDescent="0.2">
      <c r="A98" s="5">
        <v>561</v>
      </c>
      <c r="B98" s="6" t="s">
        <v>120</v>
      </c>
      <c r="C98" s="6" t="s">
        <v>113</v>
      </c>
      <c r="D98" s="42" t="s">
        <v>1245</v>
      </c>
      <c r="E98" s="38" t="s">
        <v>1242</v>
      </c>
      <c r="F98" s="49">
        <v>27.15</v>
      </c>
      <c r="G98" s="63">
        <v>2910</v>
      </c>
      <c r="H98" s="36" t="s">
        <v>1246</v>
      </c>
      <c r="I98" s="36" t="s">
        <v>92</v>
      </c>
      <c r="J98" s="36" t="s">
        <v>677</v>
      </c>
      <c r="K98" s="46" t="s">
        <v>107</v>
      </c>
    </row>
    <row r="99" spans="1:11" x14ac:dyDescent="0.2">
      <c r="A99" s="5">
        <v>599</v>
      </c>
      <c r="B99" s="6" t="s">
        <v>120</v>
      </c>
      <c r="C99" s="6" t="s">
        <v>114</v>
      </c>
      <c r="D99" s="42" t="s">
        <v>1259</v>
      </c>
      <c r="E99" s="38" t="s">
        <v>1254</v>
      </c>
      <c r="F99" s="49">
        <v>21.5</v>
      </c>
      <c r="G99" s="63">
        <v>2910</v>
      </c>
      <c r="H99" s="36" t="s">
        <v>1255</v>
      </c>
      <c r="I99" s="36" t="s">
        <v>92</v>
      </c>
      <c r="J99" s="36" t="s">
        <v>677</v>
      </c>
      <c r="K99" s="46"/>
    </row>
    <row r="100" spans="1:11" ht="30" x14ac:dyDescent="0.2">
      <c r="A100" s="5">
        <v>600</v>
      </c>
      <c r="B100" s="6" t="s">
        <v>120</v>
      </c>
      <c r="C100" s="6" t="s">
        <v>114</v>
      </c>
      <c r="D100" s="42" t="s">
        <v>1247</v>
      </c>
      <c r="E100" s="38" t="s">
        <v>1242</v>
      </c>
      <c r="F100" s="49">
        <v>27.15</v>
      </c>
      <c r="G100" s="63">
        <v>2910</v>
      </c>
      <c r="H100" s="137" t="s">
        <v>110</v>
      </c>
      <c r="I100" s="36" t="s">
        <v>92</v>
      </c>
      <c r="J100" s="36" t="s">
        <v>1248</v>
      </c>
      <c r="K100" s="46" t="s">
        <v>107</v>
      </c>
    </row>
    <row r="101" spans="1:11" x14ac:dyDescent="0.2">
      <c r="A101" s="83">
        <v>169</v>
      </c>
      <c r="B101" s="83" t="s">
        <v>116</v>
      </c>
      <c r="C101" s="83" t="s">
        <v>113</v>
      </c>
      <c r="D101" s="84" t="s">
        <v>1301</v>
      </c>
      <c r="E101" s="85" t="s">
        <v>1302</v>
      </c>
      <c r="F101" s="86">
        <f>22.2-12.43</f>
        <v>9.77</v>
      </c>
      <c r="G101" s="45" t="s">
        <v>9</v>
      </c>
      <c r="H101" s="45" t="s">
        <v>9</v>
      </c>
      <c r="I101" s="45" t="s">
        <v>59</v>
      </c>
      <c r="J101" s="45" t="s">
        <v>20</v>
      </c>
      <c r="K101" s="88"/>
    </row>
    <row r="102" spans="1:11" x14ac:dyDescent="0.2">
      <c r="A102" s="82">
        <v>41</v>
      </c>
      <c r="B102" s="83" t="s">
        <v>111</v>
      </c>
      <c r="C102" s="83" t="s">
        <v>112</v>
      </c>
      <c r="D102" s="84" t="s">
        <v>121</v>
      </c>
      <c r="E102" s="85" t="s">
        <v>122</v>
      </c>
      <c r="F102" s="86">
        <f>12.45-3.38</f>
        <v>9.07</v>
      </c>
      <c r="G102" s="45" t="s">
        <v>9</v>
      </c>
      <c r="H102" s="45" t="s">
        <v>123</v>
      </c>
      <c r="I102" s="45" t="s">
        <v>8</v>
      </c>
      <c r="J102" s="45" t="s">
        <v>20</v>
      </c>
      <c r="K102" s="88"/>
    </row>
    <row r="103" spans="1:11" x14ac:dyDescent="0.2">
      <c r="A103" s="82">
        <v>42</v>
      </c>
      <c r="B103" s="83" t="s">
        <v>111</v>
      </c>
      <c r="C103" s="83" t="s">
        <v>112</v>
      </c>
      <c r="D103" s="84" t="s">
        <v>124</v>
      </c>
      <c r="E103" s="85" t="s">
        <v>125</v>
      </c>
      <c r="F103" s="86">
        <f>8.3-2.7</f>
        <v>5.6000000000000005</v>
      </c>
      <c r="G103" s="45" t="s">
        <v>9</v>
      </c>
      <c r="H103" s="45" t="s">
        <v>123</v>
      </c>
      <c r="I103" s="45" t="s">
        <v>8</v>
      </c>
      <c r="J103" s="45" t="s">
        <v>20</v>
      </c>
      <c r="K103" s="88"/>
    </row>
    <row r="104" spans="1:11" x14ac:dyDescent="0.2">
      <c r="A104" s="83">
        <v>169</v>
      </c>
      <c r="B104" s="83" t="s">
        <v>116</v>
      </c>
      <c r="C104" s="83" t="s">
        <v>113</v>
      </c>
      <c r="D104" s="84" t="s">
        <v>1301</v>
      </c>
      <c r="E104" s="85" t="s">
        <v>1302</v>
      </c>
      <c r="F104" s="86">
        <f>11.3*1.1</f>
        <v>12.430000000000001</v>
      </c>
      <c r="G104" s="45" t="s">
        <v>9</v>
      </c>
      <c r="H104" s="45" t="s">
        <v>9</v>
      </c>
      <c r="I104" s="45" t="s">
        <v>59</v>
      </c>
      <c r="J104" s="45" t="s">
        <v>127</v>
      </c>
      <c r="K104" s="88"/>
    </row>
    <row r="105" spans="1:11" x14ac:dyDescent="0.2">
      <c r="A105" s="5">
        <v>21</v>
      </c>
      <c r="B105" s="6" t="s">
        <v>111</v>
      </c>
      <c r="C105" s="6" t="s">
        <v>112</v>
      </c>
      <c r="D105" s="42" t="s">
        <v>699</v>
      </c>
      <c r="E105" s="38" t="s">
        <v>700</v>
      </c>
      <c r="F105" s="49">
        <v>19.649999999999999</v>
      </c>
      <c r="G105" s="63">
        <v>2750</v>
      </c>
      <c r="H105" s="36" t="s">
        <v>603</v>
      </c>
      <c r="I105" s="36" t="s">
        <v>4</v>
      </c>
      <c r="J105" s="36" t="s">
        <v>701</v>
      </c>
      <c r="K105" s="46"/>
    </row>
    <row r="106" spans="1:11" x14ac:dyDescent="0.2">
      <c r="A106" s="6">
        <v>22</v>
      </c>
      <c r="B106" s="6" t="s">
        <v>111</v>
      </c>
      <c r="C106" s="6" t="s">
        <v>112</v>
      </c>
      <c r="D106" s="64" t="s">
        <v>702</v>
      </c>
      <c r="E106" s="65" t="s">
        <v>703</v>
      </c>
      <c r="F106" s="66">
        <v>38.1</v>
      </c>
      <c r="G106" s="67">
        <v>3325</v>
      </c>
      <c r="H106" s="53" t="s">
        <v>603</v>
      </c>
      <c r="I106" s="53" t="s">
        <v>5</v>
      </c>
      <c r="J106" s="53" t="s">
        <v>701</v>
      </c>
      <c r="K106" s="68"/>
    </row>
    <row r="107" spans="1:11" x14ac:dyDescent="0.2">
      <c r="A107" s="5">
        <v>23</v>
      </c>
      <c r="B107" s="6" t="s">
        <v>111</v>
      </c>
      <c r="C107" s="6" t="s">
        <v>112</v>
      </c>
      <c r="D107" s="69" t="s">
        <v>704</v>
      </c>
      <c r="E107" s="31" t="s">
        <v>705</v>
      </c>
      <c r="F107" s="152">
        <v>5.45</v>
      </c>
      <c r="G107" s="71">
        <v>3325</v>
      </c>
      <c r="H107" s="34" t="s">
        <v>603</v>
      </c>
      <c r="I107" s="34" t="s">
        <v>5</v>
      </c>
      <c r="J107" s="34" t="s">
        <v>701</v>
      </c>
      <c r="K107" s="72"/>
    </row>
    <row r="108" spans="1:11" x14ac:dyDescent="0.2">
      <c r="A108" s="6">
        <v>25</v>
      </c>
      <c r="B108" s="6" t="s">
        <v>111</v>
      </c>
      <c r="C108" s="6" t="s">
        <v>112</v>
      </c>
      <c r="D108" s="42" t="s">
        <v>932</v>
      </c>
      <c r="E108" s="38" t="s">
        <v>933</v>
      </c>
      <c r="F108" s="49">
        <v>25.25</v>
      </c>
      <c r="G108" s="63">
        <v>2300</v>
      </c>
      <c r="H108" s="36" t="s">
        <v>604</v>
      </c>
      <c r="I108" s="36" t="s">
        <v>6</v>
      </c>
      <c r="J108" s="36" t="s">
        <v>763</v>
      </c>
      <c r="K108" s="46"/>
    </row>
    <row r="109" spans="1:11" x14ac:dyDescent="0.2">
      <c r="A109" s="5">
        <v>27</v>
      </c>
      <c r="B109" s="6" t="s">
        <v>111</v>
      </c>
      <c r="C109" s="6" t="s">
        <v>112</v>
      </c>
      <c r="D109" s="42" t="s">
        <v>936</v>
      </c>
      <c r="E109" s="38" t="s">
        <v>937</v>
      </c>
      <c r="F109" s="49">
        <v>1.8</v>
      </c>
      <c r="G109" s="63">
        <v>2300</v>
      </c>
      <c r="H109" s="36" t="s">
        <v>604</v>
      </c>
      <c r="I109" s="36" t="s">
        <v>10</v>
      </c>
      <c r="J109" s="36" t="s">
        <v>763</v>
      </c>
      <c r="K109" s="46"/>
    </row>
    <row r="110" spans="1:11" x14ac:dyDescent="0.2">
      <c r="A110" s="6">
        <v>28</v>
      </c>
      <c r="B110" s="6" t="s">
        <v>111</v>
      </c>
      <c r="C110" s="6" t="s">
        <v>112</v>
      </c>
      <c r="D110" s="42" t="s">
        <v>938</v>
      </c>
      <c r="E110" s="38" t="s">
        <v>939</v>
      </c>
      <c r="F110" s="49">
        <v>1.5</v>
      </c>
      <c r="G110" s="63">
        <v>2300</v>
      </c>
      <c r="H110" s="36" t="s">
        <v>604</v>
      </c>
      <c r="I110" s="36" t="s">
        <v>10</v>
      </c>
      <c r="J110" s="36" t="s">
        <v>756</v>
      </c>
      <c r="K110" s="46"/>
    </row>
    <row r="111" spans="1:11" x14ac:dyDescent="0.2">
      <c r="A111" s="5">
        <v>29</v>
      </c>
      <c r="B111" s="6" t="s">
        <v>111</v>
      </c>
      <c r="C111" s="6" t="s">
        <v>112</v>
      </c>
      <c r="D111" s="42" t="s">
        <v>940</v>
      </c>
      <c r="E111" s="38" t="s">
        <v>941</v>
      </c>
      <c r="F111" s="49">
        <v>22.65</v>
      </c>
      <c r="G111" s="63">
        <v>2300</v>
      </c>
      <c r="H111" s="36" t="s">
        <v>604</v>
      </c>
      <c r="I111" s="36" t="s">
        <v>11</v>
      </c>
      <c r="J111" s="36" t="s">
        <v>763</v>
      </c>
      <c r="K111" s="46"/>
    </row>
    <row r="112" spans="1:11" x14ac:dyDescent="0.2">
      <c r="A112" s="6">
        <v>31</v>
      </c>
      <c r="B112" s="6" t="s">
        <v>111</v>
      </c>
      <c r="C112" s="6" t="s">
        <v>112</v>
      </c>
      <c r="D112" s="42" t="s">
        <v>944</v>
      </c>
      <c r="E112" s="38" t="s">
        <v>945</v>
      </c>
      <c r="F112" s="49">
        <v>3</v>
      </c>
      <c r="G112" s="63">
        <v>2300</v>
      </c>
      <c r="H112" s="36" t="s">
        <v>604</v>
      </c>
      <c r="I112" s="36" t="s">
        <v>10</v>
      </c>
      <c r="J112" s="36" t="s">
        <v>763</v>
      </c>
      <c r="K112" s="46"/>
    </row>
    <row r="113" spans="1:11" x14ac:dyDescent="0.2">
      <c r="A113" s="5">
        <v>32</v>
      </c>
      <c r="B113" s="6" t="s">
        <v>111</v>
      </c>
      <c r="C113" s="6" t="s">
        <v>112</v>
      </c>
      <c r="D113" s="42" t="s">
        <v>946</v>
      </c>
      <c r="E113" s="38" t="s">
        <v>947</v>
      </c>
      <c r="F113" s="49">
        <v>1.5</v>
      </c>
      <c r="G113" s="63">
        <v>2300</v>
      </c>
      <c r="H113" s="36" t="s">
        <v>604</v>
      </c>
      <c r="I113" s="36" t="s">
        <v>12</v>
      </c>
      <c r="J113" s="36" t="s">
        <v>756</v>
      </c>
      <c r="K113" s="46"/>
    </row>
    <row r="114" spans="1:11" x14ac:dyDescent="0.2">
      <c r="A114" s="5">
        <v>65</v>
      </c>
      <c r="B114" s="6" t="s">
        <v>111</v>
      </c>
      <c r="C114" s="6" t="s">
        <v>113</v>
      </c>
      <c r="D114" s="42" t="s">
        <v>948</v>
      </c>
      <c r="E114" s="38" t="s">
        <v>941</v>
      </c>
      <c r="F114" s="49">
        <v>21.2</v>
      </c>
      <c r="G114" s="63">
        <v>2400</v>
      </c>
      <c r="H114" s="36" t="s">
        <v>604</v>
      </c>
      <c r="I114" s="36" t="s">
        <v>21</v>
      </c>
      <c r="J114" s="36" t="s">
        <v>949</v>
      </c>
      <c r="K114" s="46"/>
    </row>
    <row r="115" spans="1:11" x14ac:dyDescent="0.2">
      <c r="A115" s="6">
        <v>67</v>
      </c>
      <c r="B115" s="6" t="s">
        <v>111</v>
      </c>
      <c r="C115" s="6" t="s">
        <v>113</v>
      </c>
      <c r="D115" s="42" t="s">
        <v>951</v>
      </c>
      <c r="E115" s="38" t="s">
        <v>945</v>
      </c>
      <c r="F115" s="49">
        <v>2.95</v>
      </c>
      <c r="G115" s="61" t="s">
        <v>22</v>
      </c>
      <c r="H115" s="36" t="s">
        <v>604</v>
      </c>
      <c r="I115" s="36" t="s">
        <v>10</v>
      </c>
      <c r="J115" s="36" t="s">
        <v>756</v>
      </c>
      <c r="K115" s="46"/>
    </row>
    <row r="116" spans="1:11" x14ac:dyDescent="0.2">
      <c r="A116" s="5">
        <v>68</v>
      </c>
      <c r="B116" s="6" t="s">
        <v>111</v>
      </c>
      <c r="C116" s="6" t="s">
        <v>113</v>
      </c>
      <c r="D116" s="42" t="s">
        <v>952</v>
      </c>
      <c r="E116" s="38" t="s">
        <v>947</v>
      </c>
      <c r="F116" s="49">
        <v>1.5</v>
      </c>
      <c r="G116" s="63">
        <v>2400</v>
      </c>
      <c r="H116" s="36" t="s">
        <v>604</v>
      </c>
      <c r="I116" s="36" t="s">
        <v>12</v>
      </c>
      <c r="J116" s="36" t="s">
        <v>949</v>
      </c>
      <c r="K116" s="46"/>
    </row>
    <row r="117" spans="1:11" x14ac:dyDescent="0.2">
      <c r="A117" s="5">
        <v>69</v>
      </c>
      <c r="B117" s="6" t="s">
        <v>111</v>
      </c>
      <c r="C117" s="6" t="s">
        <v>113</v>
      </c>
      <c r="D117" s="42" t="s">
        <v>953</v>
      </c>
      <c r="E117" s="38" t="s">
        <v>933</v>
      </c>
      <c r="F117" s="49">
        <v>28.35</v>
      </c>
      <c r="G117" s="63">
        <v>2400</v>
      </c>
      <c r="H117" s="36" t="s">
        <v>604</v>
      </c>
      <c r="I117" s="36" t="s">
        <v>23</v>
      </c>
      <c r="J117" s="36" t="s">
        <v>756</v>
      </c>
      <c r="K117" s="46"/>
    </row>
    <row r="118" spans="1:11" x14ac:dyDescent="0.2">
      <c r="A118" s="5">
        <v>71</v>
      </c>
      <c r="B118" s="6" t="s">
        <v>111</v>
      </c>
      <c r="C118" s="6" t="s">
        <v>113</v>
      </c>
      <c r="D118" s="42" t="s">
        <v>955</v>
      </c>
      <c r="E118" s="38" t="s">
        <v>937</v>
      </c>
      <c r="F118" s="49">
        <v>2</v>
      </c>
      <c r="G118" s="63">
        <v>2400</v>
      </c>
      <c r="H118" s="36" t="s">
        <v>604</v>
      </c>
      <c r="I118" s="36" t="s">
        <v>10</v>
      </c>
      <c r="J118" s="36" t="s">
        <v>756</v>
      </c>
      <c r="K118" s="46"/>
    </row>
    <row r="119" spans="1:11" x14ac:dyDescent="0.2">
      <c r="A119" s="5">
        <v>72</v>
      </c>
      <c r="B119" s="6" t="s">
        <v>111</v>
      </c>
      <c r="C119" s="6" t="s">
        <v>113</v>
      </c>
      <c r="D119" s="42" t="s">
        <v>956</v>
      </c>
      <c r="E119" s="38" t="s">
        <v>939</v>
      </c>
      <c r="F119" s="49">
        <v>1.8</v>
      </c>
      <c r="G119" s="63">
        <v>2400</v>
      </c>
      <c r="H119" s="36" t="s">
        <v>604</v>
      </c>
      <c r="I119" s="36" t="s">
        <v>12</v>
      </c>
      <c r="J119" s="36" t="s">
        <v>949</v>
      </c>
      <c r="K119" s="46"/>
    </row>
    <row r="120" spans="1:11" x14ac:dyDescent="0.2">
      <c r="A120" s="6">
        <v>88</v>
      </c>
      <c r="B120" s="6" t="s">
        <v>111</v>
      </c>
      <c r="C120" s="6" t="s">
        <v>114</v>
      </c>
      <c r="D120" s="42" t="s">
        <v>733</v>
      </c>
      <c r="E120" s="38" t="s">
        <v>734</v>
      </c>
      <c r="F120" s="49">
        <v>18</v>
      </c>
      <c r="G120" s="63">
        <v>2400</v>
      </c>
      <c r="H120" s="36" t="s">
        <v>603</v>
      </c>
      <c r="I120" s="36" t="s">
        <v>17</v>
      </c>
      <c r="J120" s="62" t="s">
        <v>26</v>
      </c>
      <c r="K120" s="46"/>
    </row>
    <row r="121" spans="1:11" x14ac:dyDescent="0.2">
      <c r="A121" s="5">
        <v>90</v>
      </c>
      <c r="B121" s="6" t="s">
        <v>111</v>
      </c>
      <c r="C121" s="6" t="s">
        <v>114</v>
      </c>
      <c r="D121" s="42" t="s">
        <v>957</v>
      </c>
      <c r="E121" s="38" t="s">
        <v>941</v>
      </c>
      <c r="F121" s="49">
        <v>24.25</v>
      </c>
      <c r="G121" s="63" t="s">
        <v>22</v>
      </c>
      <c r="H121" s="36" t="s">
        <v>604</v>
      </c>
      <c r="I121" s="36" t="s">
        <v>6</v>
      </c>
      <c r="J121" s="36" t="s">
        <v>949</v>
      </c>
      <c r="K121" s="46"/>
    </row>
    <row r="122" spans="1:11" x14ac:dyDescent="0.2">
      <c r="A122" s="5">
        <v>92</v>
      </c>
      <c r="B122" s="6" t="s">
        <v>111</v>
      </c>
      <c r="C122" s="6" t="s">
        <v>114</v>
      </c>
      <c r="D122" s="42" t="s">
        <v>959</v>
      </c>
      <c r="E122" s="38" t="s">
        <v>945</v>
      </c>
      <c r="F122" s="49">
        <v>1.8</v>
      </c>
      <c r="G122" s="63">
        <v>2300</v>
      </c>
      <c r="H122" s="36" t="s">
        <v>604</v>
      </c>
      <c r="I122" s="36" t="s">
        <v>10</v>
      </c>
      <c r="J122" s="36" t="s">
        <v>949</v>
      </c>
      <c r="K122" s="46"/>
    </row>
    <row r="123" spans="1:11" x14ac:dyDescent="0.2">
      <c r="A123" s="5">
        <v>93</v>
      </c>
      <c r="B123" s="6" t="s">
        <v>111</v>
      </c>
      <c r="C123" s="6" t="s">
        <v>114</v>
      </c>
      <c r="D123" s="42" t="s">
        <v>960</v>
      </c>
      <c r="E123" s="38" t="s">
        <v>947</v>
      </c>
      <c r="F123" s="49">
        <v>2.2000000000000002</v>
      </c>
      <c r="G123" s="63">
        <v>2300</v>
      </c>
      <c r="H123" s="36" t="s">
        <v>604</v>
      </c>
      <c r="I123" s="36" t="s">
        <v>12</v>
      </c>
      <c r="J123" s="36" t="s">
        <v>756</v>
      </c>
      <c r="K123" s="46"/>
    </row>
    <row r="124" spans="1:11" x14ac:dyDescent="0.2">
      <c r="A124" s="6">
        <v>94</v>
      </c>
      <c r="B124" s="6" t="s">
        <v>111</v>
      </c>
      <c r="C124" s="6" t="s">
        <v>114</v>
      </c>
      <c r="D124" s="42" t="s">
        <v>961</v>
      </c>
      <c r="E124" s="38" t="s">
        <v>933</v>
      </c>
      <c r="F124" s="49">
        <v>23.4</v>
      </c>
      <c r="G124" s="63">
        <v>2400</v>
      </c>
      <c r="H124" s="36" t="s">
        <v>604</v>
      </c>
      <c r="I124" s="36" t="s">
        <v>6</v>
      </c>
      <c r="J124" s="36" t="s">
        <v>962</v>
      </c>
      <c r="K124" s="46"/>
    </row>
    <row r="125" spans="1:11" x14ac:dyDescent="0.2">
      <c r="A125" s="5">
        <v>96</v>
      </c>
      <c r="B125" s="6" t="s">
        <v>111</v>
      </c>
      <c r="C125" s="6" t="s">
        <v>114</v>
      </c>
      <c r="D125" s="42" t="s">
        <v>964</v>
      </c>
      <c r="E125" s="38" t="s">
        <v>937</v>
      </c>
      <c r="F125" s="49">
        <v>1.9</v>
      </c>
      <c r="G125" s="63">
        <v>2400</v>
      </c>
      <c r="H125" s="36" t="s">
        <v>604</v>
      </c>
      <c r="I125" s="36" t="s">
        <v>10</v>
      </c>
      <c r="J125" s="36" t="s">
        <v>949</v>
      </c>
      <c r="K125" s="46"/>
    </row>
    <row r="126" spans="1:11" x14ac:dyDescent="0.2">
      <c r="A126" s="6">
        <v>97</v>
      </c>
      <c r="B126" s="6" t="s">
        <v>111</v>
      </c>
      <c r="C126" s="6" t="s">
        <v>114</v>
      </c>
      <c r="D126" s="42" t="s">
        <v>965</v>
      </c>
      <c r="E126" s="38" t="s">
        <v>939</v>
      </c>
      <c r="F126" s="49">
        <v>1.5</v>
      </c>
      <c r="G126" s="63">
        <v>2400</v>
      </c>
      <c r="H126" s="36" t="s">
        <v>604</v>
      </c>
      <c r="I126" s="36" t="s">
        <v>12</v>
      </c>
      <c r="J126" s="36" t="s">
        <v>756</v>
      </c>
      <c r="K126" s="46"/>
    </row>
    <row r="127" spans="1:11" x14ac:dyDescent="0.2">
      <c r="A127" s="5">
        <v>98</v>
      </c>
      <c r="B127" s="6" t="s">
        <v>111</v>
      </c>
      <c r="C127" s="6" t="s">
        <v>114</v>
      </c>
      <c r="D127" s="42" t="s">
        <v>966</v>
      </c>
      <c r="E127" s="38" t="s">
        <v>967</v>
      </c>
      <c r="F127" s="49">
        <v>9.4499999999999993</v>
      </c>
      <c r="G127" s="63">
        <v>2400</v>
      </c>
      <c r="H127" s="36" t="s">
        <v>604</v>
      </c>
      <c r="I127" s="36" t="s">
        <v>27</v>
      </c>
      <c r="J127" s="36" t="s">
        <v>949</v>
      </c>
      <c r="K127" s="46"/>
    </row>
    <row r="128" spans="1:11" x14ac:dyDescent="0.2">
      <c r="A128" s="6">
        <v>100</v>
      </c>
      <c r="B128" s="6" t="s">
        <v>111</v>
      </c>
      <c r="C128" s="6" t="s">
        <v>114</v>
      </c>
      <c r="D128" s="42" t="s">
        <v>970</v>
      </c>
      <c r="E128" s="38" t="s">
        <v>971</v>
      </c>
      <c r="F128" s="49">
        <v>5.0999999999999996</v>
      </c>
      <c r="G128" s="63">
        <v>2400</v>
      </c>
      <c r="H128" s="36" t="s">
        <v>604</v>
      </c>
      <c r="I128" s="36" t="s">
        <v>10</v>
      </c>
      <c r="J128" s="36" t="s">
        <v>949</v>
      </c>
      <c r="K128" s="46"/>
    </row>
    <row r="129" spans="1:11" ht="30" x14ac:dyDescent="0.2">
      <c r="A129" s="5">
        <v>116</v>
      </c>
      <c r="B129" s="6" t="s">
        <v>116</v>
      </c>
      <c r="C129" s="6" t="s">
        <v>112</v>
      </c>
      <c r="D129" s="37" t="s">
        <v>736</v>
      </c>
      <c r="E129" s="38" t="s">
        <v>737</v>
      </c>
      <c r="F129" s="39">
        <v>41</v>
      </c>
      <c r="G129" s="78">
        <v>3000</v>
      </c>
      <c r="H129" s="36" t="s">
        <v>645</v>
      </c>
      <c r="I129" s="36" t="s">
        <v>37</v>
      </c>
      <c r="J129" s="36" t="s">
        <v>738</v>
      </c>
      <c r="K129" s="79"/>
    </row>
    <row r="130" spans="1:11" ht="30" x14ac:dyDescent="0.2">
      <c r="A130" s="5">
        <v>117</v>
      </c>
      <c r="B130" s="6" t="s">
        <v>116</v>
      </c>
      <c r="C130" s="6" t="s">
        <v>112</v>
      </c>
      <c r="D130" s="37" t="s">
        <v>1179</v>
      </c>
      <c r="E130" s="38" t="s">
        <v>1180</v>
      </c>
      <c r="F130" s="39">
        <v>23.1</v>
      </c>
      <c r="G130" s="78">
        <v>3000</v>
      </c>
      <c r="H130" s="36" t="s">
        <v>639</v>
      </c>
      <c r="I130" s="36" t="s">
        <v>38</v>
      </c>
      <c r="J130" s="36" t="s">
        <v>1181</v>
      </c>
      <c r="K130" s="79"/>
    </row>
    <row r="131" spans="1:11" x14ac:dyDescent="0.2">
      <c r="A131" s="6">
        <v>118</v>
      </c>
      <c r="B131" s="6" t="s">
        <v>116</v>
      </c>
      <c r="C131" s="6" t="s">
        <v>112</v>
      </c>
      <c r="D131" s="37" t="s">
        <v>739</v>
      </c>
      <c r="E131" s="38" t="s">
        <v>737</v>
      </c>
      <c r="F131" s="39">
        <v>46.25</v>
      </c>
      <c r="G131" s="78">
        <v>3000</v>
      </c>
      <c r="H131" s="36" t="s">
        <v>645</v>
      </c>
      <c r="I131" s="36" t="s">
        <v>39</v>
      </c>
      <c r="J131" s="36" t="s">
        <v>738</v>
      </c>
      <c r="K131" s="79"/>
    </row>
    <row r="132" spans="1:11" x14ac:dyDescent="0.2">
      <c r="A132" s="5">
        <v>119</v>
      </c>
      <c r="B132" s="6" t="s">
        <v>116</v>
      </c>
      <c r="C132" s="6" t="s">
        <v>112</v>
      </c>
      <c r="D132" s="37" t="s">
        <v>740</v>
      </c>
      <c r="E132" s="38" t="s">
        <v>741</v>
      </c>
      <c r="F132" s="39">
        <v>24.95</v>
      </c>
      <c r="G132" s="78">
        <v>3000</v>
      </c>
      <c r="H132" s="36" t="s">
        <v>645</v>
      </c>
      <c r="I132" s="36" t="s">
        <v>39</v>
      </c>
      <c r="J132" s="36" t="s">
        <v>738</v>
      </c>
      <c r="K132" s="79"/>
    </row>
    <row r="133" spans="1:11" x14ac:dyDescent="0.2">
      <c r="A133" s="5">
        <v>120</v>
      </c>
      <c r="B133" s="6" t="s">
        <v>116</v>
      </c>
      <c r="C133" s="6" t="s">
        <v>112</v>
      </c>
      <c r="D133" s="37" t="s">
        <v>742</v>
      </c>
      <c r="E133" s="38" t="s">
        <v>743</v>
      </c>
      <c r="F133" s="39">
        <v>20.149999999999999</v>
      </c>
      <c r="G133" s="78">
        <v>3000</v>
      </c>
      <c r="H133" s="36" t="s">
        <v>645</v>
      </c>
      <c r="I133" s="36" t="s">
        <v>39</v>
      </c>
      <c r="J133" s="36" t="s">
        <v>738</v>
      </c>
      <c r="K133" s="79"/>
    </row>
    <row r="134" spans="1:11" x14ac:dyDescent="0.2">
      <c r="A134" s="6">
        <v>121</v>
      </c>
      <c r="B134" s="6" t="s">
        <v>116</v>
      </c>
      <c r="C134" s="6" t="s">
        <v>112</v>
      </c>
      <c r="D134" s="37" t="s">
        <v>1175</v>
      </c>
      <c r="E134" s="38" t="s">
        <v>1176</v>
      </c>
      <c r="F134" s="39">
        <v>74.099999999999994</v>
      </c>
      <c r="G134" s="78">
        <v>3000</v>
      </c>
      <c r="H134" s="36" t="s">
        <v>1304</v>
      </c>
      <c r="I134" s="36" t="s">
        <v>39</v>
      </c>
      <c r="J134" s="36" t="s">
        <v>738</v>
      </c>
      <c r="K134" s="79"/>
    </row>
    <row r="135" spans="1:11" x14ac:dyDescent="0.2">
      <c r="A135" s="5">
        <v>122</v>
      </c>
      <c r="B135" s="6" t="s">
        <v>116</v>
      </c>
      <c r="C135" s="6" t="s">
        <v>112</v>
      </c>
      <c r="D135" s="37" t="s">
        <v>1043</v>
      </c>
      <c r="E135" s="38" t="s">
        <v>1044</v>
      </c>
      <c r="F135" s="39">
        <v>20.100000000000001</v>
      </c>
      <c r="G135" s="78">
        <v>3000</v>
      </c>
      <c r="H135" s="36" t="s">
        <v>606</v>
      </c>
      <c r="I135" s="36" t="s">
        <v>40</v>
      </c>
      <c r="J135" s="36" t="s">
        <v>738</v>
      </c>
      <c r="K135" s="79"/>
    </row>
    <row r="136" spans="1:11" ht="30" x14ac:dyDescent="0.2">
      <c r="A136" s="6">
        <v>124</v>
      </c>
      <c r="B136" s="6" t="s">
        <v>116</v>
      </c>
      <c r="C136" s="6" t="s">
        <v>112</v>
      </c>
      <c r="D136" s="37" t="s">
        <v>1047</v>
      </c>
      <c r="E136" s="38" t="s">
        <v>1048</v>
      </c>
      <c r="F136" s="39">
        <v>65.650000000000006</v>
      </c>
      <c r="G136" s="78">
        <v>3000</v>
      </c>
      <c r="H136" s="36" t="s">
        <v>606</v>
      </c>
      <c r="I136" s="36" t="s">
        <v>37</v>
      </c>
      <c r="J136" s="36" t="s">
        <v>738</v>
      </c>
      <c r="K136" s="79"/>
    </row>
    <row r="137" spans="1:11" x14ac:dyDescent="0.2">
      <c r="A137" s="5">
        <v>125</v>
      </c>
      <c r="B137" s="6" t="s">
        <v>116</v>
      </c>
      <c r="C137" s="6" t="s">
        <v>112</v>
      </c>
      <c r="D137" s="37" t="s">
        <v>1049</v>
      </c>
      <c r="E137" s="38" t="s">
        <v>1044</v>
      </c>
      <c r="F137" s="39">
        <v>21.8</v>
      </c>
      <c r="G137" s="78">
        <v>3000</v>
      </c>
      <c r="H137" s="36" t="s">
        <v>606</v>
      </c>
      <c r="I137" s="36" t="s">
        <v>39</v>
      </c>
      <c r="J137" s="36" t="s">
        <v>738</v>
      </c>
      <c r="K137" s="79"/>
    </row>
    <row r="138" spans="1:11" x14ac:dyDescent="0.2">
      <c r="A138" s="5">
        <v>126</v>
      </c>
      <c r="B138" s="6" t="s">
        <v>116</v>
      </c>
      <c r="C138" s="6" t="s">
        <v>112</v>
      </c>
      <c r="D138" s="37" t="s">
        <v>1054</v>
      </c>
      <c r="E138" s="38" t="s">
        <v>1055</v>
      </c>
      <c r="F138" s="39">
        <v>8.6</v>
      </c>
      <c r="G138" s="78">
        <v>3000</v>
      </c>
      <c r="H138" s="36" t="s">
        <v>1056</v>
      </c>
      <c r="I138" s="36" t="s">
        <v>42</v>
      </c>
      <c r="J138" s="36" t="s">
        <v>738</v>
      </c>
      <c r="K138" s="79"/>
    </row>
    <row r="139" spans="1:11" x14ac:dyDescent="0.2">
      <c r="A139" s="5">
        <v>129</v>
      </c>
      <c r="B139" s="6" t="s">
        <v>116</v>
      </c>
      <c r="C139" s="6" t="s">
        <v>112</v>
      </c>
      <c r="D139" s="37" t="s">
        <v>1061</v>
      </c>
      <c r="E139" s="38" t="s">
        <v>1062</v>
      </c>
      <c r="F139" s="39">
        <v>2.8</v>
      </c>
      <c r="G139" s="78">
        <v>2400</v>
      </c>
      <c r="H139" s="36" t="s">
        <v>1056</v>
      </c>
      <c r="I139" s="36" t="s">
        <v>45</v>
      </c>
      <c r="J139" s="36" t="s">
        <v>738</v>
      </c>
      <c r="K139" s="79"/>
    </row>
    <row r="140" spans="1:11" x14ac:dyDescent="0.2">
      <c r="A140" s="6">
        <v>130</v>
      </c>
      <c r="B140" s="6" t="s">
        <v>116</v>
      </c>
      <c r="C140" s="6" t="s">
        <v>112</v>
      </c>
      <c r="D140" s="119" t="s">
        <v>1063</v>
      </c>
      <c r="E140" s="65" t="s">
        <v>1064</v>
      </c>
      <c r="F140" s="120">
        <v>1.9</v>
      </c>
      <c r="G140" s="121">
        <v>2400</v>
      </c>
      <c r="H140" s="53" t="s">
        <v>1056</v>
      </c>
      <c r="I140" s="53" t="s">
        <v>45</v>
      </c>
      <c r="J140" s="53" t="s">
        <v>738</v>
      </c>
      <c r="K140" s="122"/>
    </row>
    <row r="141" spans="1:11" x14ac:dyDescent="0.2">
      <c r="A141" s="5">
        <v>131</v>
      </c>
      <c r="B141" s="6" t="s">
        <v>116</v>
      </c>
      <c r="C141" s="6" t="s">
        <v>112</v>
      </c>
      <c r="D141" s="30" t="s">
        <v>1065</v>
      </c>
      <c r="E141" s="31" t="s">
        <v>811</v>
      </c>
      <c r="F141" s="32">
        <v>3.75</v>
      </c>
      <c r="G141" s="153">
        <v>2400</v>
      </c>
      <c r="H141" s="34" t="s">
        <v>1056</v>
      </c>
      <c r="I141" s="34" t="s">
        <v>46</v>
      </c>
      <c r="J141" s="34" t="s">
        <v>738</v>
      </c>
      <c r="K141" s="154"/>
    </row>
    <row r="142" spans="1:11" x14ac:dyDescent="0.2">
      <c r="A142" s="5">
        <v>132</v>
      </c>
      <c r="B142" s="6" t="s">
        <v>116</v>
      </c>
      <c r="C142" s="6" t="s">
        <v>112</v>
      </c>
      <c r="D142" s="37" t="s">
        <v>1066</v>
      </c>
      <c r="E142" s="38" t="s">
        <v>1067</v>
      </c>
      <c r="F142" s="39">
        <v>5.3</v>
      </c>
      <c r="G142" s="78">
        <v>2400</v>
      </c>
      <c r="H142" s="36" t="s">
        <v>1056</v>
      </c>
      <c r="I142" s="36" t="s">
        <v>45</v>
      </c>
      <c r="J142" s="36" t="s">
        <v>738</v>
      </c>
      <c r="K142" s="79"/>
    </row>
    <row r="143" spans="1:11" x14ac:dyDescent="0.2">
      <c r="A143" s="6">
        <v>133</v>
      </c>
      <c r="B143" s="6" t="s">
        <v>116</v>
      </c>
      <c r="C143" s="6" t="s">
        <v>112</v>
      </c>
      <c r="D143" s="37" t="s">
        <v>1068</v>
      </c>
      <c r="E143" s="38" t="s">
        <v>1069</v>
      </c>
      <c r="F143" s="39">
        <v>5.05</v>
      </c>
      <c r="G143" s="78">
        <v>2400</v>
      </c>
      <c r="H143" s="36" t="s">
        <v>1056</v>
      </c>
      <c r="I143" s="36" t="s">
        <v>46</v>
      </c>
      <c r="J143" s="36" t="s">
        <v>738</v>
      </c>
      <c r="K143" s="79"/>
    </row>
    <row r="144" spans="1:11" x14ac:dyDescent="0.2">
      <c r="A144" s="6">
        <v>136</v>
      </c>
      <c r="B144" s="6" t="s">
        <v>116</v>
      </c>
      <c r="C144" s="6" t="s">
        <v>112</v>
      </c>
      <c r="D144" s="37" t="s">
        <v>1074</v>
      </c>
      <c r="E144" s="38" t="s">
        <v>1075</v>
      </c>
      <c r="F144" s="39">
        <v>5.05</v>
      </c>
      <c r="G144" s="78">
        <v>2400</v>
      </c>
      <c r="H144" s="36" t="s">
        <v>1056</v>
      </c>
      <c r="I144" s="36" t="s">
        <v>46</v>
      </c>
      <c r="J144" s="36" t="s">
        <v>738</v>
      </c>
      <c r="K144" s="79"/>
    </row>
    <row r="145" spans="1:11" x14ac:dyDescent="0.2">
      <c r="A145" s="5">
        <v>137</v>
      </c>
      <c r="B145" s="6" t="s">
        <v>116</v>
      </c>
      <c r="C145" s="6" t="s">
        <v>112</v>
      </c>
      <c r="D145" s="37" t="s">
        <v>1076</v>
      </c>
      <c r="E145" s="38" t="s">
        <v>1062</v>
      </c>
      <c r="F145" s="39">
        <v>3</v>
      </c>
      <c r="G145" s="78">
        <v>2400</v>
      </c>
      <c r="H145" s="36" t="s">
        <v>1056</v>
      </c>
      <c r="I145" s="36" t="s">
        <v>45</v>
      </c>
      <c r="J145" s="36" t="s">
        <v>738</v>
      </c>
      <c r="K145" s="79"/>
    </row>
    <row r="146" spans="1:11" x14ac:dyDescent="0.2">
      <c r="A146" s="5">
        <v>138</v>
      </c>
      <c r="B146" s="6" t="s">
        <v>116</v>
      </c>
      <c r="C146" s="6" t="s">
        <v>112</v>
      </c>
      <c r="D146" s="37" t="s">
        <v>1077</v>
      </c>
      <c r="E146" s="38" t="s">
        <v>780</v>
      </c>
      <c r="F146" s="39">
        <v>1.5</v>
      </c>
      <c r="G146" s="78">
        <v>2400</v>
      </c>
      <c r="H146" s="36" t="s">
        <v>1056</v>
      </c>
      <c r="I146" s="36" t="s">
        <v>45</v>
      </c>
      <c r="J146" s="36" t="s">
        <v>738</v>
      </c>
      <c r="K146" s="79"/>
    </row>
    <row r="147" spans="1:11" x14ac:dyDescent="0.2">
      <c r="A147" s="6">
        <v>151</v>
      </c>
      <c r="B147" s="6" t="s">
        <v>116</v>
      </c>
      <c r="C147" s="6" t="s">
        <v>113</v>
      </c>
      <c r="D147" s="42" t="s">
        <v>1305</v>
      </c>
      <c r="E147" s="38" t="s">
        <v>1306</v>
      </c>
      <c r="F147" s="43">
        <v>14.7</v>
      </c>
      <c r="G147" s="124">
        <v>2610</v>
      </c>
      <c r="H147" s="125" t="s">
        <v>49</v>
      </c>
      <c r="I147" s="36" t="s">
        <v>34</v>
      </c>
      <c r="J147" s="36" t="s">
        <v>1098</v>
      </c>
      <c r="K147" s="46"/>
    </row>
    <row r="148" spans="1:11" x14ac:dyDescent="0.2">
      <c r="A148" s="5">
        <v>152</v>
      </c>
      <c r="B148" s="6" t="s">
        <v>116</v>
      </c>
      <c r="C148" s="6" t="s">
        <v>113</v>
      </c>
      <c r="D148" s="42" t="s">
        <v>1182</v>
      </c>
      <c r="E148" s="38" t="s">
        <v>1183</v>
      </c>
      <c r="F148" s="43">
        <v>21.05</v>
      </c>
      <c r="G148" s="124">
        <v>3000</v>
      </c>
      <c r="H148" s="36" t="s">
        <v>1184</v>
      </c>
      <c r="I148" s="36" t="s">
        <v>39</v>
      </c>
      <c r="J148" s="36" t="s">
        <v>1098</v>
      </c>
      <c r="K148" s="46"/>
    </row>
    <row r="149" spans="1:11" x14ac:dyDescent="0.2">
      <c r="A149" s="5">
        <v>153</v>
      </c>
      <c r="B149" s="6" t="s">
        <v>116</v>
      </c>
      <c r="C149" s="6" t="s">
        <v>113</v>
      </c>
      <c r="D149" s="42" t="s">
        <v>1185</v>
      </c>
      <c r="E149" s="38" t="s">
        <v>1186</v>
      </c>
      <c r="F149" s="43">
        <v>13.2</v>
      </c>
      <c r="G149" s="124">
        <v>3000</v>
      </c>
      <c r="H149" s="125" t="s">
        <v>50</v>
      </c>
      <c r="I149" s="36" t="s">
        <v>36</v>
      </c>
      <c r="J149" s="36" t="s">
        <v>1098</v>
      </c>
      <c r="K149" s="46"/>
    </row>
    <row r="150" spans="1:11" x14ac:dyDescent="0.2">
      <c r="A150" s="6">
        <v>154</v>
      </c>
      <c r="B150" s="6" t="s">
        <v>116</v>
      </c>
      <c r="C150" s="6" t="s">
        <v>113</v>
      </c>
      <c r="D150" s="42" t="s">
        <v>1177</v>
      </c>
      <c r="E150" s="38" t="s">
        <v>1178</v>
      </c>
      <c r="F150" s="43">
        <v>13.3</v>
      </c>
      <c r="G150" s="123">
        <v>3000</v>
      </c>
      <c r="H150" s="36" t="s">
        <v>1307</v>
      </c>
      <c r="I150" s="36" t="s">
        <v>41</v>
      </c>
      <c r="J150" s="36" t="s">
        <v>1098</v>
      </c>
      <c r="K150" s="46"/>
    </row>
    <row r="151" spans="1:11" x14ac:dyDescent="0.2">
      <c r="A151" s="5">
        <v>155</v>
      </c>
      <c r="B151" s="6" t="s">
        <v>116</v>
      </c>
      <c r="C151" s="6" t="s">
        <v>113</v>
      </c>
      <c r="D151" s="42" t="s">
        <v>1210</v>
      </c>
      <c r="E151" s="38" t="s">
        <v>1211</v>
      </c>
      <c r="F151" s="126">
        <v>2.1</v>
      </c>
      <c r="G151" s="124">
        <v>2400</v>
      </c>
      <c r="H151" s="36" t="s">
        <v>642</v>
      </c>
      <c r="I151" s="36" t="s">
        <v>51</v>
      </c>
      <c r="J151" s="36" t="s">
        <v>1098</v>
      </c>
      <c r="K151" s="46"/>
    </row>
    <row r="152" spans="1:11" x14ac:dyDescent="0.2">
      <c r="A152" s="5">
        <v>156</v>
      </c>
      <c r="B152" s="6" t="s">
        <v>116</v>
      </c>
      <c r="C152" s="6" t="s">
        <v>113</v>
      </c>
      <c r="D152" s="42" t="s">
        <v>1212</v>
      </c>
      <c r="E152" s="38" t="s">
        <v>1213</v>
      </c>
      <c r="F152" s="126">
        <v>1.5</v>
      </c>
      <c r="G152" s="124">
        <v>2400</v>
      </c>
      <c r="H152" s="36" t="s">
        <v>642</v>
      </c>
      <c r="I152" s="36" t="s">
        <v>52</v>
      </c>
      <c r="J152" s="36" t="s">
        <v>1098</v>
      </c>
      <c r="K152" s="46"/>
    </row>
    <row r="153" spans="1:11" x14ac:dyDescent="0.2">
      <c r="A153" s="6">
        <v>157</v>
      </c>
      <c r="B153" s="6" t="s">
        <v>116</v>
      </c>
      <c r="C153" s="6" t="s">
        <v>113</v>
      </c>
      <c r="D153" s="42" t="s">
        <v>1214</v>
      </c>
      <c r="E153" s="38" t="s">
        <v>1215</v>
      </c>
      <c r="F153" s="43">
        <v>2.1</v>
      </c>
      <c r="G153" s="124">
        <v>2400</v>
      </c>
      <c r="H153" s="36" t="s">
        <v>1216</v>
      </c>
      <c r="I153" s="36" t="s">
        <v>52</v>
      </c>
      <c r="J153" s="36" t="s">
        <v>1098</v>
      </c>
      <c r="K153" s="46"/>
    </row>
    <row r="154" spans="1:11" x14ac:dyDescent="0.2">
      <c r="A154" s="5">
        <v>158</v>
      </c>
      <c r="B154" s="6" t="s">
        <v>116</v>
      </c>
      <c r="C154" s="6" t="s">
        <v>113</v>
      </c>
      <c r="D154" s="42" t="s">
        <v>1217</v>
      </c>
      <c r="E154" s="136" t="s">
        <v>53</v>
      </c>
      <c r="F154" s="43">
        <v>1.45</v>
      </c>
      <c r="G154" s="124">
        <v>2400</v>
      </c>
      <c r="H154" s="36" t="s">
        <v>1216</v>
      </c>
      <c r="I154" s="36" t="s">
        <v>52</v>
      </c>
      <c r="J154" s="36" t="s">
        <v>1098</v>
      </c>
      <c r="K154" s="46"/>
    </row>
    <row r="155" spans="1:11" x14ac:dyDescent="0.2">
      <c r="A155" s="5">
        <v>162</v>
      </c>
      <c r="B155" s="6" t="s">
        <v>116</v>
      </c>
      <c r="C155" s="6" t="s">
        <v>113</v>
      </c>
      <c r="D155" s="42" t="s">
        <v>1128</v>
      </c>
      <c r="E155" s="38" t="s">
        <v>1129</v>
      </c>
      <c r="F155" s="43">
        <v>26.9</v>
      </c>
      <c r="G155" s="124">
        <v>2610</v>
      </c>
      <c r="H155" s="47" t="s">
        <v>56</v>
      </c>
      <c r="I155" s="36" t="s">
        <v>36</v>
      </c>
      <c r="J155" s="36" t="s">
        <v>1098</v>
      </c>
      <c r="K155" s="46"/>
    </row>
    <row r="156" spans="1:11" x14ac:dyDescent="0.2">
      <c r="A156" s="6">
        <v>163</v>
      </c>
      <c r="B156" s="6" t="s">
        <v>116</v>
      </c>
      <c r="C156" s="6" t="s">
        <v>113</v>
      </c>
      <c r="D156" s="42" t="s">
        <v>1096</v>
      </c>
      <c r="E156" s="38" t="s">
        <v>1097</v>
      </c>
      <c r="F156" s="43">
        <v>11.5</v>
      </c>
      <c r="G156" s="123">
        <v>2610</v>
      </c>
      <c r="H156" s="47" t="s">
        <v>57</v>
      </c>
      <c r="I156" s="36" t="s">
        <v>58</v>
      </c>
      <c r="J156" s="36" t="s">
        <v>1098</v>
      </c>
      <c r="K156" s="46"/>
    </row>
    <row r="157" spans="1:11" x14ac:dyDescent="0.2">
      <c r="A157" s="5">
        <v>165</v>
      </c>
      <c r="B157" s="6" t="s">
        <v>116</v>
      </c>
      <c r="C157" s="6" t="s">
        <v>113</v>
      </c>
      <c r="D157" s="42" t="s">
        <v>1102</v>
      </c>
      <c r="E157" s="38" t="s">
        <v>1103</v>
      </c>
      <c r="F157" s="43">
        <v>2</v>
      </c>
      <c r="G157" s="124">
        <v>2400</v>
      </c>
      <c r="H157" s="47" t="s">
        <v>57</v>
      </c>
      <c r="I157" s="36" t="s">
        <v>52</v>
      </c>
      <c r="J157" s="36" t="s">
        <v>1098</v>
      </c>
      <c r="K157" s="46"/>
    </row>
    <row r="158" spans="1:11" x14ac:dyDescent="0.2">
      <c r="A158" s="6">
        <v>166</v>
      </c>
      <c r="B158" s="6" t="s">
        <v>116</v>
      </c>
      <c r="C158" s="6" t="s">
        <v>113</v>
      </c>
      <c r="D158" s="42" t="s">
        <v>1104</v>
      </c>
      <c r="E158" s="38" t="s">
        <v>1105</v>
      </c>
      <c r="F158" s="43">
        <v>10.3</v>
      </c>
      <c r="G158" s="123">
        <v>2610</v>
      </c>
      <c r="H158" s="47" t="s">
        <v>57</v>
      </c>
      <c r="I158" s="36" t="s">
        <v>58</v>
      </c>
      <c r="J158" s="36" t="s">
        <v>1098</v>
      </c>
      <c r="K158" s="46"/>
    </row>
    <row r="159" spans="1:11" x14ac:dyDescent="0.2">
      <c r="A159" s="5">
        <v>168</v>
      </c>
      <c r="B159" s="6" t="s">
        <v>116</v>
      </c>
      <c r="C159" s="6" t="s">
        <v>113</v>
      </c>
      <c r="D159" s="42" t="s">
        <v>1108</v>
      </c>
      <c r="E159" s="38" t="s">
        <v>1109</v>
      </c>
      <c r="F159" s="43">
        <v>2</v>
      </c>
      <c r="G159" s="124">
        <v>2400</v>
      </c>
      <c r="H159" s="125" t="s">
        <v>57</v>
      </c>
      <c r="I159" s="36" t="s">
        <v>52</v>
      </c>
      <c r="J159" s="36" t="s">
        <v>1098</v>
      </c>
      <c r="K159" s="46"/>
    </row>
    <row r="160" spans="1:11" x14ac:dyDescent="0.2">
      <c r="A160" s="6">
        <v>172</v>
      </c>
      <c r="B160" s="6" t="s">
        <v>116</v>
      </c>
      <c r="C160" s="6" t="s">
        <v>113</v>
      </c>
      <c r="D160" s="42" t="s">
        <v>1308</v>
      </c>
      <c r="E160" s="38" t="s">
        <v>1309</v>
      </c>
      <c r="F160" s="114">
        <v>14.1</v>
      </c>
      <c r="G160" s="123">
        <v>2610</v>
      </c>
      <c r="H160" s="125" t="s">
        <v>62</v>
      </c>
      <c r="I160" s="36" t="s">
        <v>63</v>
      </c>
      <c r="J160" s="36" t="s">
        <v>1112</v>
      </c>
      <c r="K160" s="46"/>
    </row>
    <row r="161" spans="1:11" ht="30" x14ac:dyDescent="0.2">
      <c r="A161" s="5">
        <v>174</v>
      </c>
      <c r="B161" s="6" t="s">
        <v>116</v>
      </c>
      <c r="C161" s="6" t="s">
        <v>113</v>
      </c>
      <c r="D161" s="42" t="s">
        <v>1221</v>
      </c>
      <c r="E161" s="38" t="s">
        <v>1222</v>
      </c>
      <c r="F161" s="114">
        <v>17.649999999999999</v>
      </c>
      <c r="G161" s="124">
        <v>2610</v>
      </c>
      <c r="H161" s="36" t="s">
        <v>1216</v>
      </c>
      <c r="I161" s="36" t="s">
        <v>51</v>
      </c>
      <c r="J161" s="36" t="s">
        <v>1098</v>
      </c>
      <c r="K161" s="46" t="s">
        <v>61</v>
      </c>
    </row>
    <row r="162" spans="1:11" x14ac:dyDescent="0.2">
      <c r="A162" s="6">
        <v>175</v>
      </c>
      <c r="B162" s="6" t="s">
        <v>116</v>
      </c>
      <c r="C162" s="6" t="s">
        <v>113</v>
      </c>
      <c r="D162" s="42" t="s">
        <v>1155</v>
      </c>
      <c r="E162" s="38" t="s">
        <v>1138</v>
      </c>
      <c r="F162" s="43">
        <v>8.65</v>
      </c>
      <c r="G162" s="123">
        <v>2610</v>
      </c>
      <c r="H162" s="47" t="s">
        <v>64</v>
      </c>
      <c r="I162" s="36" t="s">
        <v>63</v>
      </c>
      <c r="J162" s="36" t="s">
        <v>1156</v>
      </c>
      <c r="K162" s="46"/>
    </row>
    <row r="163" spans="1:11" x14ac:dyDescent="0.2">
      <c r="A163" s="5">
        <v>176</v>
      </c>
      <c r="B163" s="6" t="s">
        <v>116</v>
      </c>
      <c r="C163" s="6" t="s">
        <v>113</v>
      </c>
      <c r="D163" s="42" t="s">
        <v>1157</v>
      </c>
      <c r="E163" s="38" t="s">
        <v>1158</v>
      </c>
      <c r="F163" s="43">
        <v>7</v>
      </c>
      <c r="G163" s="124">
        <v>2610</v>
      </c>
      <c r="H163" s="47" t="s">
        <v>64</v>
      </c>
      <c r="I163" s="36" t="s">
        <v>63</v>
      </c>
      <c r="J163" s="36" t="s">
        <v>1112</v>
      </c>
      <c r="K163" s="46"/>
    </row>
    <row r="164" spans="1:11" ht="30" x14ac:dyDescent="0.2">
      <c r="A164" s="5">
        <v>177</v>
      </c>
      <c r="B164" s="6" t="s">
        <v>116</v>
      </c>
      <c r="C164" s="6" t="s">
        <v>113</v>
      </c>
      <c r="D164" s="42" t="s">
        <v>1223</v>
      </c>
      <c r="E164" s="38" t="s">
        <v>1224</v>
      </c>
      <c r="F164" s="43">
        <v>25.3</v>
      </c>
      <c r="G164" s="123">
        <v>2610</v>
      </c>
      <c r="H164" s="36" t="s">
        <v>1216</v>
      </c>
      <c r="I164" s="36" t="s">
        <v>51</v>
      </c>
      <c r="J164" s="36" t="s">
        <v>1098</v>
      </c>
      <c r="K164" s="46" t="s">
        <v>61</v>
      </c>
    </row>
    <row r="165" spans="1:11" ht="30" x14ac:dyDescent="0.2">
      <c r="A165" s="6">
        <v>178</v>
      </c>
      <c r="B165" s="6" t="s">
        <v>116</v>
      </c>
      <c r="C165" s="6" t="s">
        <v>113</v>
      </c>
      <c r="D165" s="42" t="s">
        <v>1225</v>
      </c>
      <c r="E165" s="38" t="s">
        <v>1226</v>
      </c>
      <c r="F165" s="114">
        <v>17.95</v>
      </c>
      <c r="G165" s="123">
        <v>2610</v>
      </c>
      <c r="H165" s="36" t="s">
        <v>1216</v>
      </c>
      <c r="I165" s="36" t="s">
        <v>51</v>
      </c>
      <c r="J165" s="36" t="s">
        <v>1112</v>
      </c>
      <c r="K165" s="46" t="s">
        <v>61</v>
      </c>
    </row>
    <row r="166" spans="1:11" ht="30" x14ac:dyDescent="0.2">
      <c r="A166" s="5">
        <v>179</v>
      </c>
      <c r="B166" s="6" t="s">
        <v>116</v>
      </c>
      <c r="C166" s="6" t="s">
        <v>113</v>
      </c>
      <c r="D166" s="42" t="s">
        <v>1310</v>
      </c>
      <c r="E166" s="38" t="s">
        <v>1311</v>
      </c>
      <c r="F166" s="43">
        <v>22.25</v>
      </c>
      <c r="G166" s="124">
        <v>2610</v>
      </c>
      <c r="H166" s="36" t="s">
        <v>1312</v>
      </c>
      <c r="I166" s="36" t="s">
        <v>65</v>
      </c>
      <c r="J166" s="36" t="s">
        <v>1098</v>
      </c>
      <c r="K166" s="46" t="s">
        <v>61</v>
      </c>
    </row>
    <row r="167" spans="1:11" x14ac:dyDescent="0.2">
      <c r="A167" s="5">
        <v>180</v>
      </c>
      <c r="B167" s="6" t="s">
        <v>116</v>
      </c>
      <c r="C167" s="6" t="s">
        <v>113</v>
      </c>
      <c r="D167" s="42" t="s">
        <v>1159</v>
      </c>
      <c r="E167" s="38" t="s">
        <v>1160</v>
      </c>
      <c r="F167" s="43">
        <v>5.5</v>
      </c>
      <c r="G167" s="124">
        <v>2610</v>
      </c>
      <c r="H167" s="47" t="s">
        <v>64</v>
      </c>
      <c r="I167" s="36" t="s">
        <v>34</v>
      </c>
      <c r="J167" s="36" t="s">
        <v>1098</v>
      </c>
      <c r="K167" s="46"/>
    </row>
    <row r="168" spans="1:11" x14ac:dyDescent="0.2">
      <c r="A168" s="6">
        <v>181</v>
      </c>
      <c r="B168" s="6" t="s">
        <v>116</v>
      </c>
      <c r="C168" s="6" t="s">
        <v>113</v>
      </c>
      <c r="D168" s="42" t="s">
        <v>1161</v>
      </c>
      <c r="E168" s="38" t="s">
        <v>1162</v>
      </c>
      <c r="F168" s="43">
        <v>4.8</v>
      </c>
      <c r="G168" s="123">
        <v>2610</v>
      </c>
      <c r="H168" s="47" t="s">
        <v>64</v>
      </c>
      <c r="I168" s="36" t="s">
        <v>63</v>
      </c>
      <c r="J168" s="36" t="s">
        <v>1112</v>
      </c>
      <c r="K168" s="46"/>
    </row>
    <row r="169" spans="1:11" x14ac:dyDescent="0.2">
      <c r="A169" s="5">
        <v>182</v>
      </c>
      <c r="B169" s="6" t="s">
        <v>116</v>
      </c>
      <c r="C169" s="6" t="s">
        <v>113</v>
      </c>
      <c r="D169" s="42" t="s">
        <v>1313</v>
      </c>
      <c r="E169" s="38" t="s">
        <v>1138</v>
      </c>
      <c r="F169" s="43">
        <v>9.25</v>
      </c>
      <c r="G169" s="124">
        <v>2610</v>
      </c>
      <c r="H169" s="125" t="s">
        <v>62</v>
      </c>
      <c r="I169" s="36" t="s">
        <v>66</v>
      </c>
      <c r="J169" s="36" t="s">
        <v>1112</v>
      </c>
      <c r="K169" s="46"/>
    </row>
    <row r="170" spans="1:11" x14ac:dyDescent="0.2">
      <c r="A170" s="5">
        <v>183</v>
      </c>
      <c r="B170" s="6" t="s">
        <v>116</v>
      </c>
      <c r="C170" s="6" t="s">
        <v>113</v>
      </c>
      <c r="D170" s="42" t="s">
        <v>1163</v>
      </c>
      <c r="E170" s="38" t="s">
        <v>1138</v>
      </c>
      <c r="F170" s="126">
        <v>3.75</v>
      </c>
      <c r="G170" s="123">
        <v>2610</v>
      </c>
      <c r="H170" s="47" t="s">
        <v>64</v>
      </c>
      <c r="I170" s="36" t="s">
        <v>34</v>
      </c>
      <c r="J170" s="36" t="s">
        <v>1112</v>
      </c>
      <c r="K170" s="46"/>
    </row>
    <row r="171" spans="1:11" x14ac:dyDescent="0.2">
      <c r="A171" s="6">
        <v>184</v>
      </c>
      <c r="B171" s="6" t="s">
        <v>116</v>
      </c>
      <c r="C171" s="6" t="s">
        <v>113</v>
      </c>
      <c r="D171" s="42" t="s">
        <v>1164</v>
      </c>
      <c r="E171" s="38" t="s">
        <v>1138</v>
      </c>
      <c r="F171" s="126">
        <v>3.2</v>
      </c>
      <c r="G171" s="123">
        <v>2610</v>
      </c>
      <c r="H171" s="47" t="s">
        <v>64</v>
      </c>
      <c r="I171" s="36" t="s">
        <v>63</v>
      </c>
      <c r="J171" s="36" t="s">
        <v>1112</v>
      </c>
      <c r="K171" s="46"/>
    </row>
    <row r="172" spans="1:11" x14ac:dyDescent="0.2">
      <c r="A172" s="5">
        <v>185</v>
      </c>
      <c r="B172" s="6" t="s">
        <v>116</v>
      </c>
      <c r="C172" s="6" t="s">
        <v>113</v>
      </c>
      <c r="D172" s="42" t="s">
        <v>1135</v>
      </c>
      <c r="E172" s="38" t="s">
        <v>1136</v>
      </c>
      <c r="F172" s="43">
        <v>9.9</v>
      </c>
      <c r="G172" s="124">
        <v>2610</v>
      </c>
      <c r="H172" s="47" t="s">
        <v>67</v>
      </c>
      <c r="I172" s="36" t="s">
        <v>66</v>
      </c>
      <c r="J172" s="36" t="s">
        <v>1112</v>
      </c>
      <c r="K172" s="46"/>
    </row>
    <row r="173" spans="1:11" x14ac:dyDescent="0.2">
      <c r="A173" s="5">
        <v>186</v>
      </c>
      <c r="B173" s="6" t="s">
        <v>116</v>
      </c>
      <c r="C173" s="6" t="s">
        <v>113</v>
      </c>
      <c r="D173" s="42" t="s">
        <v>1137</v>
      </c>
      <c r="E173" s="38" t="s">
        <v>1138</v>
      </c>
      <c r="F173" s="43">
        <v>10.8</v>
      </c>
      <c r="G173" s="123">
        <v>2610</v>
      </c>
      <c r="H173" s="47" t="s">
        <v>67</v>
      </c>
      <c r="I173" s="36" t="s">
        <v>66</v>
      </c>
      <c r="J173" s="36" t="s">
        <v>1112</v>
      </c>
      <c r="K173" s="46"/>
    </row>
    <row r="174" spans="1:11" ht="30" x14ac:dyDescent="0.2">
      <c r="A174" s="6">
        <v>187</v>
      </c>
      <c r="B174" s="6" t="s">
        <v>116</v>
      </c>
      <c r="C174" s="6" t="s">
        <v>113</v>
      </c>
      <c r="D174" s="42" t="s">
        <v>1110</v>
      </c>
      <c r="E174" s="38" t="s">
        <v>1111</v>
      </c>
      <c r="F174" s="43">
        <v>2.95</v>
      </c>
      <c r="G174" s="124">
        <v>2610</v>
      </c>
      <c r="H174" s="47" t="s">
        <v>57</v>
      </c>
      <c r="I174" s="36" t="s">
        <v>51</v>
      </c>
      <c r="J174" s="36" t="s">
        <v>1112</v>
      </c>
      <c r="K174" s="46" t="s">
        <v>61</v>
      </c>
    </row>
    <row r="175" spans="1:11" ht="30" x14ac:dyDescent="0.2">
      <c r="A175" s="5">
        <v>188</v>
      </c>
      <c r="B175" s="6" t="s">
        <v>116</v>
      </c>
      <c r="C175" s="6" t="s">
        <v>113</v>
      </c>
      <c r="D175" s="42" t="s">
        <v>1113</v>
      </c>
      <c r="E175" s="38" t="s">
        <v>1114</v>
      </c>
      <c r="F175" s="43">
        <v>3.05</v>
      </c>
      <c r="G175" s="124">
        <v>2610</v>
      </c>
      <c r="H175" s="47" t="s">
        <v>57</v>
      </c>
      <c r="I175" s="36" t="s">
        <v>52</v>
      </c>
      <c r="J175" s="36" t="s">
        <v>1112</v>
      </c>
      <c r="K175" s="46" t="s">
        <v>61</v>
      </c>
    </row>
    <row r="176" spans="1:11" x14ac:dyDescent="0.2">
      <c r="A176" s="5">
        <v>189</v>
      </c>
      <c r="B176" s="6" t="s">
        <v>116</v>
      </c>
      <c r="C176" s="6" t="s">
        <v>113</v>
      </c>
      <c r="D176" s="42" t="s">
        <v>1139</v>
      </c>
      <c r="E176" s="38" t="s">
        <v>1140</v>
      </c>
      <c r="F176" s="126">
        <v>7.9</v>
      </c>
      <c r="G176" s="123">
        <v>2610</v>
      </c>
      <c r="H176" s="36" t="s">
        <v>67</v>
      </c>
      <c r="I176" s="36" t="s">
        <v>68</v>
      </c>
      <c r="J176" s="36" t="s">
        <v>1112</v>
      </c>
      <c r="K176" s="46"/>
    </row>
    <row r="177" spans="1:11" ht="30" x14ac:dyDescent="0.2">
      <c r="A177" s="6">
        <v>190</v>
      </c>
      <c r="B177" s="6" t="s">
        <v>116</v>
      </c>
      <c r="C177" s="6" t="s">
        <v>113</v>
      </c>
      <c r="D177" s="42" t="s">
        <v>1227</v>
      </c>
      <c r="E177" s="38" t="s">
        <v>1228</v>
      </c>
      <c r="F177" s="43">
        <v>9.4</v>
      </c>
      <c r="G177" s="123">
        <v>2610</v>
      </c>
      <c r="H177" s="36" t="s">
        <v>642</v>
      </c>
      <c r="I177" s="36" t="s">
        <v>51</v>
      </c>
      <c r="J177" s="36" t="s">
        <v>1112</v>
      </c>
      <c r="K177" s="46" t="s">
        <v>61</v>
      </c>
    </row>
    <row r="178" spans="1:11" ht="30" x14ac:dyDescent="0.2">
      <c r="A178" s="5">
        <v>191</v>
      </c>
      <c r="B178" s="6" t="s">
        <v>116</v>
      </c>
      <c r="C178" s="6" t="s">
        <v>113</v>
      </c>
      <c r="D178" s="42" t="s">
        <v>1229</v>
      </c>
      <c r="E178" s="38" t="s">
        <v>1230</v>
      </c>
      <c r="F178" s="114">
        <v>16</v>
      </c>
      <c r="G178" s="124">
        <v>2610</v>
      </c>
      <c r="H178" s="36" t="s">
        <v>642</v>
      </c>
      <c r="I178" s="36" t="s">
        <v>51</v>
      </c>
      <c r="J178" s="36" t="s">
        <v>1112</v>
      </c>
      <c r="K178" s="46" t="s">
        <v>61</v>
      </c>
    </row>
    <row r="179" spans="1:11" x14ac:dyDescent="0.2">
      <c r="A179" s="6">
        <v>193</v>
      </c>
      <c r="B179" s="6" t="s">
        <v>116</v>
      </c>
      <c r="C179" s="6" t="s">
        <v>113</v>
      </c>
      <c r="D179" s="42" t="s">
        <v>1314</v>
      </c>
      <c r="E179" s="38" t="s">
        <v>1315</v>
      </c>
      <c r="F179" s="114">
        <v>15.85</v>
      </c>
      <c r="G179" s="124">
        <v>2610</v>
      </c>
      <c r="H179" s="125" t="s">
        <v>62</v>
      </c>
      <c r="I179" s="36" t="s">
        <v>36</v>
      </c>
      <c r="J179" s="36" t="s">
        <v>1112</v>
      </c>
      <c r="K179" s="46"/>
    </row>
    <row r="180" spans="1:11" x14ac:dyDescent="0.2">
      <c r="A180" s="5">
        <v>194</v>
      </c>
      <c r="B180" s="6" t="s">
        <v>116</v>
      </c>
      <c r="C180" s="6" t="s">
        <v>113</v>
      </c>
      <c r="D180" s="42" t="s">
        <v>1141</v>
      </c>
      <c r="E180" s="38" t="s">
        <v>1142</v>
      </c>
      <c r="F180" s="114">
        <v>14.7</v>
      </c>
      <c r="G180" s="124">
        <v>2610</v>
      </c>
      <c r="H180" s="47" t="s">
        <v>67</v>
      </c>
      <c r="I180" s="36" t="s">
        <v>63</v>
      </c>
      <c r="J180" s="36" t="s">
        <v>1112</v>
      </c>
      <c r="K180" s="46"/>
    </row>
    <row r="181" spans="1:11" ht="30" x14ac:dyDescent="0.2">
      <c r="A181" s="5">
        <v>195</v>
      </c>
      <c r="B181" s="6" t="s">
        <v>116</v>
      </c>
      <c r="C181" s="6" t="s">
        <v>113</v>
      </c>
      <c r="D181" s="42" t="s">
        <v>1115</v>
      </c>
      <c r="E181" s="38" t="s">
        <v>1116</v>
      </c>
      <c r="F181" s="114">
        <v>11.35</v>
      </c>
      <c r="G181" s="123">
        <v>2610</v>
      </c>
      <c r="H181" s="47" t="s">
        <v>57</v>
      </c>
      <c r="I181" s="36" t="s">
        <v>69</v>
      </c>
      <c r="J181" s="36" t="s">
        <v>1112</v>
      </c>
      <c r="K181" s="46" t="s">
        <v>61</v>
      </c>
    </row>
    <row r="182" spans="1:11" ht="30" x14ac:dyDescent="0.2">
      <c r="A182" s="6">
        <v>196</v>
      </c>
      <c r="B182" s="6" t="s">
        <v>116</v>
      </c>
      <c r="C182" s="6" t="s">
        <v>113</v>
      </c>
      <c r="D182" s="42" t="s">
        <v>1117</v>
      </c>
      <c r="E182" s="38" t="s">
        <v>1118</v>
      </c>
      <c r="F182" s="43">
        <v>4</v>
      </c>
      <c r="G182" s="124">
        <v>2610</v>
      </c>
      <c r="H182" s="47" t="s">
        <v>57</v>
      </c>
      <c r="I182" s="36" t="s">
        <v>52</v>
      </c>
      <c r="J182" s="36" t="s">
        <v>1112</v>
      </c>
      <c r="K182" s="46" t="s">
        <v>61</v>
      </c>
    </row>
    <row r="183" spans="1:11" ht="30" x14ac:dyDescent="0.2">
      <c r="A183" s="5">
        <v>197</v>
      </c>
      <c r="B183" s="6" t="s">
        <v>116</v>
      </c>
      <c r="C183" s="6" t="s">
        <v>113</v>
      </c>
      <c r="D183" s="42" t="s">
        <v>1119</v>
      </c>
      <c r="E183" s="38" t="s">
        <v>1120</v>
      </c>
      <c r="F183" s="126">
        <v>5.85</v>
      </c>
      <c r="G183" s="124">
        <v>2610</v>
      </c>
      <c r="H183" s="47" t="s">
        <v>57</v>
      </c>
      <c r="I183" s="36" t="s">
        <v>51</v>
      </c>
      <c r="J183" s="36" t="s">
        <v>1112</v>
      </c>
      <c r="K183" s="46" t="s">
        <v>61</v>
      </c>
    </row>
    <row r="184" spans="1:11" x14ac:dyDescent="0.2">
      <c r="A184" s="5">
        <v>198</v>
      </c>
      <c r="B184" s="6" t="s">
        <v>116</v>
      </c>
      <c r="C184" s="6" t="s">
        <v>113</v>
      </c>
      <c r="D184" s="42" t="s">
        <v>1143</v>
      </c>
      <c r="E184" s="38" t="s">
        <v>1144</v>
      </c>
      <c r="F184" s="43">
        <v>4.25</v>
      </c>
      <c r="G184" s="123">
        <v>2610</v>
      </c>
      <c r="H184" s="47" t="s">
        <v>67</v>
      </c>
      <c r="I184" s="36" t="s">
        <v>63</v>
      </c>
      <c r="J184" s="36" t="s">
        <v>1112</v>
      </c>
      <c r="K184" s="46"/>
    </row>
    <row r="185" spans="1:11" x14ac:dyDescent="0.2">
      <c r="A185" s="6">
        <v>199</v>
      </c>
      <c r="B185" s="6" t="s">
        <v>116</v>
      </c>
      <c r="C185" s="6" t="s">
        <v>113</v>
      </c>
      <c r="D185" s="42" t="s">
        <v>1145</v>
      </c>
      <c r="E185" s="38" t="s">
        <v>1146</v>
      </c>
      <c r="F185" s="43">
        <v>7.6</v>
      </c>
      <c r="G185" s="124">
        <v>2610</v>
      </c>
      <c r="H185" s="47" t="s">
        <v>67</v>
      </c>
      <c r="I185" s="36" t="s">
        <v>34</v>
      </c>
      <c r="J185" s="36" t="s">
        <v>1112</v>
      </c>
      <c r="K185" s="46"/>
    </row>
    <row r="186" spans="1:11" x14ac:dyDescent="0.2">
      <c r="A186" s="5">
        <v>200</v>
      </c>
      <c r="B186" s="6" t="s">
        <v>116</v>
      </c>
      <c r="C186" s="6" t="s">
        <v>113</v>
      </c>
      <c r="D186" s="42" t="s">
        <v>1147</v>
      </c>
      <c r="E186" s="76" t="s">
        <v>1148</v>
      </c>
      <c r="F186" s="43">
        <v>5.45</v>
      </c>
      <c r="G186" s="123">
        <v>2610</v>
      </c>
      <c r="H186" s="47" t="s">
        <v>67</v>
      </c>
      <c r="I186" s="36" t="s">
        <v>34</v>
      </c>
      <c r="J186" s="36" t="s">
        <v>1112</v>
      </c>
      <c r="K186" s="46"/>
    </row>
    <row r="187" spans="1:11" x14ac:dyDescent="0.2">
      <c r="A187" s="5">
        <v>201</v>
      </c>
      <c r="B187" s="6" t="s">
        <v>116</v>
      </c>
      <c r="C187" s="6" t="s">
        <v>113</v>
      </c>
      <c r="D187" s="42" t="s">
        <v>1149</v>
      </c>
      <c r="E187" s="38" t="s">
        <v>1150</v>
      </c>
      <c r="F187" s="114">
        <v>11.4</v>
      </c>
      <c r="G187" s="123">
        <v>2610</v>
      </c>
      <c r="H187" s="47" t="s">
        <v>67</v>
      </c>
      <c r="I187" s="36" t="s">
        <v>63</v>
      </c>
      <c r="J187" s="36" t="s">
        <v>1112</v>
      </c>
      <c r="K187" s="46"/>
    </row>
    <row r="188" spans="1:11" x14ac:dyDescent="0.2">
      <c r="A188" s="6">
        <v>202</v>
      </c>
      <c r="B188" s="6" t="s">
        <v>116</v>
      </c>
      <c r="C188" s="6" t="s">
        <v>113</v>
      </c>
      <c r="D188" s="42" t="s">
        <v>1151</v>
      </c>
      <c r="E188" s="38" t="s">
        <v>1152</v>
      </c>
      <c r="F188" s="126">
        <v>5.45</v>
      </c>
      <c r="G188" s="124">
        <v>2610</v>
      </c>
      <c r="H188" s="47" t="s">
        <v>67</v>
      </c>
      <c r="I188" s="36" t="s">
        <v>63</v>
      </c>
      <c r="J188" s="36" t="s">
        <v>1112</v>
      </c>
      <c r="K188" s="46"/>
    </row>
    <row r="189" spans="1:11" x14ac:dyDescent="0.2">
      <c r="A189" s="5">
        <v>203</v>
      </c>
      <c r="B189" s="6" t="s">
        <v>116</v>
      </c>
      <c r="C189" s="6" t="s">
        <v>113</v>
      </c>
      <c r="D189" s="42" t="s">
        <v>1153</v>
      </c>
      <c r="E189" s="38" t="s">
        <v>1154</v>
      </c>
      <c r="F189" s="43">
        <v>5.5</v>
      </c>
      <c r="G189" s="124">
        <v>2610</v>
      </c>
      <c r="H189" s="47" t="s">
        <v>67</v>
      </c>
      <c r="I189" s="36" t="s">
        <v>63</v>
      </c>
      <c r="J189" s="36" t="s">
        <v>1112</v>
      </c>
      <c r="K189" s="46"/>
    </row>
    <row r="190" spans="1:11" x14ac:dyDescent="0.2">
      <c r="A190" s="5">
        <v>204</v>
      </c>
      <c r="B190" s="6" t="s">
        <v>116</v>
      </c>
      <c r="C190" s="6" t="s">
        <v>113</v>
      </c>
      <c r="D190" s="42" t="s">
        <v>1316</v>
      </c>
      <c r="E190" s="38" t="s">
        <v>1317</v>
      </c>
      <c r="F190" s="43">
        <v>55.45</v>
      </c>
      <c r="G190" s="123">
        <v>2610</v>
      </c>
      <c r="H190" s="125" t="s">
        <v>62</v>
      </c>
      <c r="I190" s="36" t="s">
        <v>36</v>
      </c>
      <c r="J190" s="36" t="s">
        <v>1112</v>
      </c>
      <c r="K190" s="46"/>
    </row>
    <row r="191" spans="1:11" x14ac:dyDescent="0.2">
      <c r="A191" s="5">
        <v>216</v>
      </c>
      <c r="B191" s="6" t="s">
        <v>116</v>
      </c>
      <c r="C191" s="6" t="s">
        <v>114</v>
      </c>
      <c r="D191" s="42" t="s">
        <v>1028</v>
      </c>
      <c r="E191" s="38" t="s">
        <v>861</v>
      </c>
      <c r="F191" s="39">
        <v>31.2</v>
      </c>
      <c r="G191" s="78">
        <v>2610</v>
      </c>
      <c r="H191" s="36" t="s">
        <v>1029</v>
      </c>
      <c r="I191" s="36" t="s">
        <v>31</v>
      </c>
      <c r="J191" s="48" t="s">
        <v>26</v>
      </c>
      <c r="K191" s="46"/>
    </row>
    <row r="192" spans="1:11" x14ac:dyDescent="0.2">
      <c r="A192" s="5">
        <v>218</v>
      </c>
      <c r="B192" s="6" t="s">
        <v>116</v>
      </c>
      <c r="C192" s="6" t="s">
        <v>114</v>
      </c>
      <c r="D192" s="42" t="s">
        <v>1078</v>
      </c>
      <c r="E192" s="38" t="s">
        <v>1079</v>
      </c>
      <c r="F192" s="39">
        <v>10.9</v>
      </c>
      <c r="G192" s="78">
        <v>2400</v>
      </c>
      <c r="H192" s="36" t="s">
        <v>1056</v>
      </c>
      <c r="I192" s="36" t="s">
        <v>40</v>
      </c>
      <c r="J192" s="36" t="s">
        <v>738</v>
      </c>
      <c r="K192" s="46"/>
    </row>
    <row r="193" spans="1:11" x14ac:dyDescent="0.2">
      <c r="A193" s="5">
        <v>219</v>
      </c>
      <c r="B193" s="6" t="s">
        <v>116</v>
      </c>
      <c r="C193" s="6" t="s">
        <v>114</v>
      </c>
      <c r="D193" s="42" t="s">
        <v>1080</v>
      </c>
      <c r="E193" s="38" t="s">
        <v>1081</v>
      </c>
      <c r="F193" s="39">
        <v>2.95</v>
      </c>
      <c r="G193" s="78">
        <v>2400</v>
      </c>
      <c r="H193" s="36" t="s">
        <v>1056</v>
      </c>
      <c r="I193" s="40" t="s">
        <v>45</v>
      </c>
      <c r="J193" s="36" t="s">
        <v>738</v>
      </c>
      <c r="K193" s="46"/>
    </row>
    <row r="194" spans="1:11" x14ac:dyDescent="0.2">
      <c r="A194" s="6">
        <v>220</v>
      </c>
      <c r="B194" s="6" t="s">
        <v>116</v>
      </c>
      <c r="C194" s="6" t="s">
        <v>114</v>
      </c>
      <c r="D194" s="42" t="s">
        <v>1082</v>
      </c>
      <c r="E194" s="38" t="s">
        <v>1083</v>
      </c>
      <c r="F194" s="39">
        <v>2.95</v>
      </c>
      <c r="G194" s="78">
        <v>2400</v>
      </c>
      <c r="H194" s="36" t="s">
        <v>1056</v>
      </c>
      <c r="I194" s="40" t="s">
        <v>45</v>
      </c>
      <c r="J194" s="36" t="s">
        <v>738</v>
      </c>
      <c r="K194" s="46"/>
    </row>
    <row r="195" spans="1:11" x14ac:dyDescent="0.2">
      <c r="A195" s="5">
        <v>221</v>
      </c>
      <c r="B195" s="6" t="s">
        <v>116</v>
      </c>
      <c r="C195" s="6" t="s">
        <v>114</v>
      </c>
      <c r="D195" s="42" t="s">
        <v>1130</v>
      </c>
      <c r="E195" s="38" t="s">
        <v>1131</v>
      </c>
      <c r="F195" s="39">
        <v>29.8</v>
      </c>
      <c r="G195" s="78">
        <v>3000</v>
      </c>
      <c r="H195" s="48" t="s">
        <v>56</v>
      </c>
      <c r="I195" s="36" t="s">
        <v>63</v>
      </c>
      <c r="J195" s="36" t="s">
        <v>738</v>
      </c>
      <c r="K195" s="46"/>
    </row>
    <row r="196" spans="1:11" x14ac:dyDescent="0.2">
      <c r="A196" s="5">
        <v>222</v>
      </c>
      <c r="B196" s="6" t="s">
        <v>116</v>
      </c>
      <c r="C196" s="6" t="s">
        <v>114</v>
      </c>
      <c r="D196" s="42" t="s">
        <v>1132</v>
      </c>
      <c r="E196" s="38" t="s">
        <v>1133</v>
      </c>
      <c r="F196" s="39">
        <v>12.2</v>
      </c>
      <c r="G196" s="78">
        <v>2610</v>
      </c>
      <c r="H196" s="36" t="s">
        <v>1134</v>
      </c>
      <c r="I196" s="36" t="s">
        <v>63</v>
      </c>
      <c r="J196" s="36" t="s">
        <v>738</v>
      </c>
      <c r="K196" s="46"/>
    </row>
    <row r="197" spans="1:11" x14ac:dyDescent="0.2">
      <c r="A197" s="6">
        <v>223</v>
      </c>
      <c r="B197" s="6" t="s">
        <v>116</v>
      </c>
      <c r="C197" s="6" t="s">
        <v>114</v>
      </c>
      <c r="D197" s="42" t="s">
        <v>1121</v>
      </c>
      <c r="E197" s="38" t="s">
        <v>1122</v>
      </c>
      <c r="F197" s="39">
        <v>4.25</v>
      </c>
      <c r="G197" s="78">
        <v>2610</v>
      </c>
      <c r="H197" s="36" t="s">
        <v>1123</v>
      </c>
      <c r="I197" s="36" t="s">
        <v>70</v>
      </c>
      <c r="J197" s="36" t="s">
        <v>738</v>
      </c>
      <c r="K197" s="46"/>
    </row>
    <row r="198" spans="1:11" x14ac:dyDescent="0.2">
      <c r="A198" s="5">
        <v>225</v>
      </c>
      <c r="B198" s="6" t="s">
        <v>116</v>
      </c>
      <c r="C198" s="6" t="s">
        <v>114</v>
      </c>
      <c r="D198" s="42" t="s">
        <v>1126</v>
      </c>
      <c r="E198" s="38" t="s">
        <v>1127</v>
      </c>
      <c r="F198" s="39">
        <v>1.5</v>
      </c>
      <c r="G198" s="78">
        <v>2610</v>
      </c>
      <c r="H198" s="36" t="s">
        <v>1123</v>
      </c>
      <c r="I198" s="36" t="s">
        <v>52</v>
      </c>
      <c r="J198" s="36" t="s">
        <v>738</v>
      </c>
      <c r="K198" s="46"/>
    </row>
    <row r="199" spans="1:11" x14ac:dyDescent="0.2">
      <c r="A199" s="5">
        <v>234</v>
      </c>
      <c r="B199" s="6" t="s">
        <v>116</v>
      </c>
      <c r="C199" s="6" t="s">
        <v>117</v>
      </c>
      <c r="D199" s="42" t="s">
        <v>1167</v>
      </c>
      <c r="E199" s="38" t="s">
        <v>861</v>
      </c>
      <c r="F199" s="39">
        <v>7.35</v>
      </c>
      <c r="G199" s="78">
        <v>3000</v>
      </c>
      <c r="H199" s="36" t="s">
        <v>1168</v>
      </c>
      <c r="I199" s="36" t="s">
        <v>71</v>
      </c>
      <c r="J199" s="36" t="s">
        <v>1169</v>
      </c>
      <c r="K199" s="79"/>
    </row>
    <row r="200" spans="1:11" x14ac:dyDescent="0.2">
      <c r="A200" s="5">
        <v>239</v>
      </c>
      <c r="B200" s="6" t="s">
        <v>116</v>
      </c>
      <c r="C200" s="6" t="s">
        <v>117</v>
      </c>
      <c r="D200" s="64" t="s">
        <v>1201</v>
      </c>
      <c r="E200" s="65" t="s">
        <v>1202</v>
      </c>
      <c r="F200" s="120">
        <v>17.399999999999999</v>
      </c>
      <c r="G200" s="155">
        <v>2800.3</v>
      </c>
      <c r="H200" s="156" t="s">
        <v>74</v>
      </c>
      <c r="I200" s="53" t="s">
        <v>36</v>
      </c>
      <c r="J200" s="53" t="s">
        <v>1169</v>
      </c>
      <c r="K200" s="122"/>
    </row>
    <row r="201" spans="1:11" x14ac:dyDescent="0.2">
      <c r="A201" s="5">
        <v>240</v>
      </c>
      <c r="B201" s="6" t="s">
        <v>116</v>
      </c>
      <c r="C201" s="6" t="s">
        <v>117</v>
      </c>
      <c r="D201" s="69" t="s">
        <v>1203</v>
      </c>
      <c r="E201" s="31" t="s">
        <v>1202</v>
      </c>
      <c r="F201" s="32">
        <v>16.899999999999999</v>
      </c>
      <c r="G201" s="157">
        <v>2800.3</v>
      </c>
      <c r="H201" s="158" t="s">
        <v>74</v>
      </c>
      <c r="I201" s="34" t="s">
        <v>36</v>
      </c>
      <c r="J201" s="34" t="s">
        <v>1169</v>
      </c>
      <c r="K201" s="154"/>
    </row>
    <row r="202" spans="1:11" x14ac:dyDescent="0.2">
      <c r="A202" s="6">
        <v>244</v>
      </c>
      <c r="B202" s="6" t="s">
        <v>116</v>
      </c>
      <c r="C202" s="6" t="s">
        <v>117</v>
      </c>
      <c r="D202" s="42" t="s">
        <v>1084</v>
      </c>
      <c r="E202" s="38" t="s">
        <v>1085</v>
      </c>
      <c r="F202" s="39">
        <v>5.15</v>
      </c>
      <c r="G202" s="78">
        <v>3000</v>
      </c>
      <c r="H202" s="48" t="s">
        <v>77</v>
      </c>
      <c r="I202" s="40" t="s">
        <v>34</v>
      </c>
      <c r="J202" s="36" t="s">
        <v>738</v>
      </c>
      <c r="K202" s="79"/>
    </row>
    <row r="203" spans="1:11" x14ac:dyDescent="0.2">
      <c r="A203" s="5">
        <v>245</v>
      </c>
      <c r="B203" s="6" t="s">
        <v>116</v>
      </c>
      <c r="C203" s="6" t="s">
        <v>117</v>
      </c>
      <c r="D203" s="42" t="s">
        <v>1086</v>
      </c>
      <c r="E203" s="38" t="s">
        <v>1087</v>
      </c>
      <c r="F203" s="39">
        <v>5.75</v>
      </c>
      <c r="G203" s="78">
        <v>3000</v>
      </c>
      <c r="H203" s="48" t="s">
        <v>77</v>
      </c>
      <c r="I203" s="40" t="s">
        <v>78</v>
      </c>
      <c r="J203" s="36" t="s">
        <v>738</v>
      </c>
      <c r="K203" s="79"/>
    </row>
    <row r="204" spans="1:11" x14ac:dyDescent="0.2">
      <c r="A204" s="5">
        <v>246</v>
      </c>
      <c r="B204" s="6" t="s">
        <v>116</v>
      </c>
      <c r="C204" s="6" t="s">
        <v>117</v>
      </c>
      <c r="D204" s="42" t="s">
        <v>1088</v>
      </c>
      <c r="E204" s="38" t="s">
        <v>1081</v>
      </c>
      <c r="F204" s="39">
        <v>1.6</v>
      </c>
      <c r="G204" s="78">
        <v>2400</v>
      </c>
      <c r="H204" s="48" t="s">
        <v>77</v>
      </c>
      <c r="I204" s="40" t="s">
        <v>79</v>
      </c>
      <c r="J204" s="36" t="s">
        <v>738</v>
      </c>
      <c r="K204" s="79"/>
    </row>
    <row r="205" spans="1:11" x14ac:dyDescent="0.2">
      <c r="A205" s="6">
        <v>247</v>
      </c>
      <c r="B205" s="6" t="s">
        <v>116</v>
      </c>
      <c r="C205" s="6" t="s">
        <v>117</v>
      </c>
      <c r="D205" s="42" t="s">
        <v>1089</v>
      </c>
      <c r="E205" s="38" t="s">
        <v>1081</v>
      </c>
      <c r="F205" s="39">
        <v>1.6</v>
      </c>
      <c r="G205" s="78">
        <v>2400</v>
      </c>
      <c r="H205" s="48" t="s">
        <v>77</v>
      </c>
      <c r="I205" s="40" t="s">
        <v>45</v>
      </c>
      <c r="J205" s="36" t="s">
        <v>738</v>
      </c>
      <c r="K205" s="79"/>
    </row>
    <row r="206" spans="1:11" x14ac:dyDescent="0.2">
      <c r="A206" s="5">
        <v>248</v>
      </c>
      <c r="B206" s="6" t="s">
        <v>116</v>
      </c>
      <c r="C206" s="6" t="s">
        <v>117</v>
      </c>
      <c r="D206" s="42" t="s">
        <v>1090</v>
      </c>
      <c r="E206" s="38" t="s">
        <v>1091</v>
      </c>
      <c r="F206" s="39">
        <v>3</v>
      </c>
      <c r="G206" s="78">
        <v>3000</v>
      </c>
      <c r="H206" s="48" t="s">
        <v>77</v>
      </c>
      <c r="I206" s="40" t="s">
        <v>80</v>
      </c>
      <c r="J206" s="36" t="s">
        <v>738</v>
      </c>
      <c r="K206" s="79"/>
    </row>
    <row r="207" spans="1:11" x14ac:dyDescent="0.2">
      <c r="A207" s="5">
        <v>249</v>
      </c>
      <c r="B207" s="6" t="s">
        <v>116</v>
      </c>
      <c r="C207" s="6" t="s">
        <v>117</v>
      </c>
      <c r="D207" s="42" t="s">
        <v>1092</v>
      </c>
      <c r="E207" s="38" t="s">
        <v>1083</v>
      </c>
      <c r="F207" s="39">
        <v>1.75</v>
      </c>
      <c r="G207" s="78">
        <v>2400</v>
      </c>
      <c r="H207" s="48" t="s">
        <v>77</v>
      </c>
      <c r="I207" s="40" t="s">
        <v>45</v>
      </c>
      <c r="J207" s="36" t="s">
        <v>738</v>
      </c>
      <c r="K207" s="79"/>
    </row>
    <row r="208" spans="1:11" x14ac:dyDescent="0.2">
      <c r="A208" s="6">
        <v>250</v>
      </c>
      <c r="B208" s="6" t="s">
        <v>116</v>
      </c>
      <c r="C208" s="6" t="s">
        <v>117</v>
      </c>
      <c r="D208" s="42" t="s">
        <v>1093</v>
      </c>
      <c r="E208" s="38" t="s">
        <v>1094</v>
      </c>
      <c r="F208" s="39">
        <v>1.5</v>
      </c>
      <c r="G208" s="78">
        <v>2400</v>
      </c>
      <c r="H208" s="48" t="s">
        <v>77</v>
      </c>
      <c r="I208" s="40" t="s">
        <v>79</v>
      </c>
      <c r="J208" s="36" t="s">
        <v>738</v>
      </c>
      <c r="K208" s="79"/>
    </row>
    <row r="209" spans="1:11" x14ac:dyDescent="0.2">
      <c r="A209" s="5">
        <v>251</v>
      </c>
      <c r="B209" s="6" t="s">
        <v>116</v>
      </c>
      <c r="C209" s="6" t="s">
        <v>117</v>
      </c>
      <c r="D209" s="42" t="s">
        <v>1095</v>
      </c>
      <c r="E209" s="38" t="s">
        <v>1067</v>
      </c>
      <c r="F209" s="39">
        <v>4.9000000000000004</v>
      </c>
      <c r="G209" s="78">
        <v>2400</v>
      </c>
      <c r="H209" s="48" t="s">
        <v>77</v>
      </c>
      <c r="I209" s="40" t="s">
        <v>45</v>
      </c>
      <c r="J209" s="36" t="s">
        <v>738</v>
      </c>
      <c r="K209" s="79"/>
    </row>
    <row r="210" spans="1:11" x14ac:dyDescent="0.2">
      <c r="A210" s="5">
        <v>254</v>
      </c>
      <c r="B210" s="6" t="s">
        <v>116</v>
      </c>
      <c r="C210" s="6" t="s">
        <v>117</v>
      </c>
      <c r="D210" s="42" t="s">
        <v>1187</v>
      </c>
      <c r="E210" s="38" t="s">
        <v>1188</v>
      </c>
      <c r="F210" s="39">
        <v>13.45</v>
      </c>
      <c r="G210" s="36" t="s">
        <v>1189</v>
      </c>
      <c r="H210" s="36" t="s">
        <v>639</v>
      </c>
      <c r="I210" s="36" t="s">
        <v>31</v>
      </c>
      <c r="J210" s="36" t="s">
        <v>738</v>
      </c>
      <c r="K210" s="79"/>
    </row>
    <row r="211" spans="1:11" x14ac:dyDescent="0.2">
      <c r="A211" s="5">
        <v>255</v>
      </c>
      <c r="B211" s="6" t="s">
        <v>116</v>
      </c>
      <c r="C211" s="6" t="s">
        <v>117</v>
      </c>
      <c r="D211" s="42" t="s">
        <v>1190</v>
      </c>
      <c r="E211" s="38" t="s">
        <v>1191</v>
      </c>
      <c r="F211" s="39">
        <v>14.6</v>
      </c>
      <c r="G211" s="36" t="s">
        <v>1192</v>
      </c>
      <c r="H211" s="36" t="s">
        <v>639</v>
      </c>
      <c r="I211" s="36" t="s">
        <v>36</v>
      </c>
      <c r="J211" s="36" t="s">
        <v>738</v>
      </c>
      <c r="K211" s="79"/>
    </row>
    <row r="212" spans="1:11" x14ac:dyDescent="0.2">
      <c r="A212" s="6">
        <v>256</v>
      </c>
      <c r="B212" s="6" t="s">
        <v>116</v>
      </c>
      <c r="C212" s="6" t="s">
        <v>117</v>
      </c>
      <c r="D212" s="42" t="s">
        <v>1193</v>
      </c>
      <c r="E212" s="38" t="s">
        <v>1194</v>
      </c>
      <c r="F212" s="39">
        <v>14.6</v>
      </c>
      <c r="G212" s="36" t="s">
        <v>1192</v>
      </c>
      <c r="H212" s="36" t="s">
        <v>639</v>
      </c>
      <c r="I212" s="36" t="s">
        <v>36</v>
      </c>
      <c r="J212" s="36" t="s">
        <v>738</v>
      </c>
      <c r="K212" s="79"/>
    </row>
    <row r="213" spans="1:11" x14ac:dyDescent="0.2">
      <c r="A213" s="5">
        <v>257</v>
      </c>
      <c r="B213" s="6" t="s">
        <v>116</v>
      </c>
      <c r="C213" s="6" t="s">
        <v>117</v>
      </c>
      <c r="D213" s="42" t="s">
        <v>1195</v>
      </c>
      <c r="E213" s="38" t="s">
        <v>1196</v>
      </c>
      <c r="F213" s="39">
        <v>14.6</v>
      </c>
      <c r="G213" s="36" t="s">
        <v>1192</v>
      </c>
      <c r="H213" s="36" t="s">
        <v>639</v>
      </c>
      <c r="I213" s="36" t="s">
        <v>36</v>
      </c>
      <c r="J213" s="36" t="s">
        <v>738</v>
      </c>
      <c r="K213" s="79"/>
    </row>
    <row r="214" spans="1:11" x14ac:dyDescent="0.2">
      <c r="A214" s="5">
        <v>258</v>
      </c>
      <c r="B214" s="6" t="s">
        <v>116</v>
      </c>
      <c r="C214" s="6" t="s">
        <v>117</v>
      </c>
      <c r="D214" s="42" t="s">
        <v>1197</v>
      </c>
      <c r="E214" s="38" t="s">
        <v>1198</v>
      </c>
      <c r="F214" s="39">
        <v>14.6</v>
      </c>
      <c r="G214" s="36" t="s">
        <v>1189</v>
      </c>
      <c r="H214" s="36" t="s">
        <v>639</v>
      </c>
      <c r="I214" s="36" t="s">
        <v>36</v>
      </c>
      <c r="J214" s="36" t="s">
        <v>738</v>
      </c>
      <c r="K214" s="79"/>
    </row>
    <row r="215" spans="1:11" x14ac:dyDescent="0.2">
      <c r="A215" s="6">
        <v>259</v>
      </c>
      <c r="B215" s="6" t="s">
        <v>116</v>
      </c>
      <c r="C215" s="6" t="s">
        <v>117</v>
      </c>
      <c r="D215" s="42" t="s">
        <v>1204</v>
      </c>
      <c r="E215" s="38" t="s">
        <v>1205</v>
      </c>
      <c r="F215" s="39">
        <v>26.55</v>
      </c>
      <c r="G215" s="36" t="s">
        <v>1192</v>
      </c>
      <c r="H215" s="36" t="s">
        <v>1318</v>
      </c>
      <c r="I215" s="36" t="s">
        <v>36</v>
      </c>
      <c r="J215" s="36" t="s">
        <v>738</v>
      </c>
      <c r="K215" s="79"/>
    </row>
    <row r="216" spans="1:11" ht="15.75" thickBot="1" x14ac:dyDescent="0.25">
      <c r="A216" s="5">
        <v>260</v>
      </c>
      <c r="B216" s="6" t="s">
        <v>116</v>
      </c>
      <c r="C216" s="6" t="s">
        <v>117</v>
      </c>
      <c r="D216" s="64" t="s">
        <v>1206</v>
      </c>
      <c r="E216" s="65" t="s">
        <v>1207</v>
      </c>
      <c r="F216" s="159">
        <v>11.15</v>
      </c>
      <c r="G216" s="53" t="s">
        <v>1192</v>
      </c>
      <c r="H216" s="53" t="s">
        <v>1319</v>
      </c>
      <c r="I216" s="53" t="s">
        <v>36</v>
      </c>
      <c r="J216" s="53" t="s">
        <v>738</v>
      </c>
      <c r="K216" s="122"/>
    </row>
    <row r="217" spans="1:11" x14ac:dyDescent="0.2">
      <c r="A217" s="5">
        <v>261</v>
      </c>
      <c r="B217" s="6" t="s">
        <v>116</v>
      </c>
      <c r="C217" s="6" t="s">
        <v>117</v>
      </c>
      <c r="D217" s="105" t="s">
        <v>1208</v>
      </c>
      <c r="E217" s="106" t="s">
        <v>1207</v>
      </c>
      <c r="F217" s="160">
        <v>11.25</v>
      </c>
      <c r="G217" s="109" t="s">
        <v>1192</v>
      </c>
      <c r="H217" s="109" t="s">
        <v>1318</v>
      </c>
      <c r="I217" s="109" t="s">
        <v>36</v>
      </c>
      <c r="J217" s="109" t="s">
        <v>738</v>
      </c>
      <c r="K217" s="161"/>
    </row>
    <row r="218" spans="1:11" x14ac:dyDescent="0.2">
      <c r="A218" s="6">
        <v>262</v>
      </c>
      <c r="B218" s="6" t="s">
        <v>116</v>
      </c>
      <c r="C218" s="6" t="s">
        <v>117</v>
      </c>
      <c r="D218" s="42" t="s">
        <v>1209</v>
      </c>
      <c r="E218" s="38" t="s">
        <v>1180</v>
      </c>
      <c r="F218" s="39">
        <v>12.15</v>
      </c>
      <c r="G218" s="36" t="s">
        <v>1192</v>
      </c>
      <c r="H218" s="36" t="s">
        <v>1319</v>
      </c>
      <c r="I218" s="36" t="s">
        <v>82</v>
      </c>
      <c r="J218" s="36" t="s">
        <v>738</v>
      </c>
      <c r="K218" s="79"/>
    </row>
    <row r="219" spans="1:11" x14ac:dyDescent="0.2">
      <c r="A219" s="5">
        <v>263</v>
      </c>
      <c r="B219" s="6" t="s">
        <v>116</v>
      </c>
      <c r="C219" s="6" t="s">
        <v>117</v>
      </c>
      <c r="D219" s="42" t="s">
        <v>746</v>
      </c>
      <c r="E219" s="38" t="s">
        <v>747</v>
      </c>
      <c r="F219" s="39">
        <v>69.849999999999994</v>
      </c>
      <c r="G219" s="78">
        <v>3000</v>
      </c>
      <c r="H219" s="36" t="s">
        <v>649</v>
      </c>
      <c r="I219" s="36" t="s">
        <v>83</v>
      </c>
      <c r="J219" s="36" t="s">
        <v>738</v>
      </c>
      <c r="K219" s="79"/>
    </row>
    <row r="220" spans="1:11" x14ac:dyDescent="0.2">
      <c r="A220" s="6">
        <v>280</v>
      </c>
      <c r="B220" s="6" t="s">
        <v>118</v>
      </c>
      <c r="C220" s="6" t="s">
        <v>112</v>
      </c>
      <c r="D220" s="42" t="s">
        <v>801</v>
      </c>
      <c r="E220" s="38" t="s">
        <v>802</v>
      </c>
      <c r="F220" s="49">
        <v>4.75</v>
      </c>
      <c r="G220" s="63">
        <v>2400</v>
      </c>
      <c r="H220" s="36" t="s">
        <v>654</v>
      </c>
      <c r="I220" s="36" t="s">
        <v>58</v>
      </c>
      <c r="J220" s="36" t="s">
        <v>756</v>
      </c>
      <c r="K220" s="46"/>
    </row>
    <row r="221" spans="1:11" x14ac:dyDescent="0.2">
      <c r="A221" s="5">
        <v>281</v>
      </c>
      <c r="B221" s="6" t="s">
        <v>118</v>
      </c>
      <c r="C221" s="6" t="s">
        <v>112</v>
      </c>
      <c r="D221" s="42" t="s">
        <v>803</v>
      </c>
      <c r="E221" s="38" t="s">
        <v>804</v>
      </c>
      <c r="F221" s="49">
        <v>4.45</v>
      </c>
      <c r="G221" s="63">
        <v>2400</v>
      </c>
      <c r="H221" s="36" t="s">
        <v>654</v>
      </c>
      <c r="I221" s="36" t="s">
        <v>70</v>
      </c>
      <c r="J221" s="36" t="s">
        <v>756</v>
      </c>
      <c r="K221" s="46"/>
    </row>
    <row r="222" spans="1:11" x14ac:dyDescent="0.2">
      <c r="A222" s="5">
        <v>282</v>
      </c>
      <c r="B222" s="6" t="s">
        <v>118</v>
      </c>
      <c r="C222" s="6" t="s">
        <v>112</v>
      </c>
      <c r="D222" s="42" t="s">
        <v>805</v>
      </c>
      <c r="E222" s="38" t="s">
        <v>806</v>
      </c>
      <c r="F222" s="49">
        <v>6.8</v>
      </c>
      <c r="G222" s="63">
        <v>2400</v>
      </c>
      <c r="H222" s="36" t="s">
        <v>654</v>
      </c>
      <c r="I222" s="36" t="s">
        <v>34</v>
      </c>
      <c r="J222" s="36" t="s">
        <v>756</v>
      </c>
      <c r="K222" s="46"/>
    </row>
    <row r="223" spans="1:11" x14ac:dyDescent="0.2">
      <c r="A223" s="6">
        <v>283</v>
      </c>
      <c r="B223" s="6" t="s">
        <v>118</v>
      </c>
      <c r="C223" s="6" t="s">
        <v>112</v>
      </c>
      <c r="D223" s="42" t="s">
        <v>840</v>
      </c>
      <c r="E223" s="38" t="s">
        <v>841</v>
      </c>
      <c r="F223" s="49">
        <v>8.15</v>
      </c>
      <c r="G223" s="63">
        <v>2400</v>
      </c>
      <c r="H223" s="36" t="s">
        <v>656</v>
      </c>
      <c r="I223" s="36" t="s">
        <v>89</v>
      </c>
      <c r="J223" s="36" t="s">
        <v>763</v>
      </c>
      <c r="K223" s="46"/>
    </row>
    <row r="224" spans="1:11" x14ac:dyDescent="0.2">
      <c r="A224" s="5">
        <v>284</v>
      </c>
      <c r="B224" s="6" t="s">
        <v>118</v>
      </c>
      <c r="C224" s="6" t="s">
        <v>112</v>
      </c>
      <c r="D224" s="42" t="s">
        <v>842</v>
      </c>
      <c r="E224" s="38" t="s">
        <v>843</v>
      </c>
      <c r="F224" s="49">
        <v>8.0500000000000007</v>
      </c>
      <c r="G224" s="63">
        <v>2400</v>
      </c>
      <c r="H224" s="36" t="s">
        <v>656</v>
      </c>
      <c r="I224" s="36" t="s">
        <v>36</v>
      </c>
      <c r="J224" s="36" t="s">
        <v>756</v>
      </c>
      <c r="K224" s="46"/>
    </row>
    <row r="225" spans="1:11" x14ac:dyDescent="0.2">
      <c r="A225" s="5">
        <v>285</v>
      </c>
      <c r="B225" s="6" t="s">
        <v>118</v>
      </c>
      <c r="C225" s="6" t="s">
        <v>112</v>
      </c>
      <c r="D225" s="42" t="s">
        <v>844</v>
      </c>
      <c r="E225" s="38" t="s">
        <v>845</v>
      </c>
      <c r="F225" s="49">
        <v>17.399999999999999</v>
      </c>
      <c r="G225" s="63">
        <v>2400</v>
      </c>
      <c r="H225" s="36" t="s">
        <v>656</v>
      </c>
      <c r="I225" s="36" t="s">
        <v>90</v>
      </c>
      <c r="J225" s="36" t="s">
        <v>763</v>
      </c>
      <c r="K225" s="46"/>
    </row>
    <row r="226" spans="1:11" x14ac:dyDescent="0.2">
      <c r="A226" s="5">
        <v>290</v>
      </c>
      <c r="B226" s="6" t="s">
        <v>118</v>
      </c>
      <c r="C226" s="6" t="s">
        <v>112</v>
      </c>
      <c r="D226" s="42" t="s">
        <v>768</v>
      </c>
      <c r="E226" s="38" t="s">
        <v>769</v>
      </c>
      <c r="F226" s="49">
        <v>2.5</v>
      </c>
      <c r="G226" s="63">
        <v>2400</v>
      </c>
      <c r="H226" s="36" t="s">
        <v>766</v>
      </c>
      <c r="I226" s="36" t="s">
        <v>46</v>
      </c>
      <c r="J226" s="36" t="s">
        <v>756</v>
      </c>
      <c r="K226" s="46"/>
    </row>
    <row r="227" spans="1:11" x14ac:dyDescent="0.2">
      <c r="A227" s="5">
        <v>291</v>
      </c>
      <c r="B227" s="6" t="s">
        <v>118</v>
      </c>
      <c r="C227" s="6" t="s">
        <v>112</v>
      </c>
      <c r="D227" s="42" t="s">
        <v>770</v>
      </c>
      <c r="E227" s="38" t="s">
        <v>771</v>
      </c>
      <c r="F227" s="49">
        <v>2.15</v>
      </c>
      <c r="G227" s="63">
        <v>2400</v>
      </c>
      <c r="H227" s="36" t="s">
        <v>766</v>
      </c>
      <c r="I227" s="36" t="s">
        <v>46</v>
      </c>
      <c r="J227" s="36" t="s">
        <v>763</v>
      </c>
      <c r="K227" s="46"/>
    </row>
    <row r="228" spans="1:11" x14ac:dyDescent="0.2">
      <c r="A228" s="6">
        <v>292</v>
      </c>
      <c r="B228" s="6" t="s">
        <v>118</v>
      </c>
      <c r="C228" s="6" t="s">
        <v>112</v>
      </c>
      <c r="D228" s="42" t="s">
        <v>848</v>
      </c>
      <c r="E228" s="38" t="s">
        <v>849</v>
      </c>
      <c r="F228" s="49">
        <v>9.25</v>
      </c>
      <c r="G228" s="63">
        <v>2670</v>
      </c>
      <c r="H228" s="36" t="s">
        <v>656</v>
      </c>
      <c r="I228" s="36" t="s">
        <v>46</v>
      </c>
      <c r="J228" s="36" t="s">
        <v>756</v>
      </c>
      <c r="K228" s="46"/>
    </row>
    <row r="229" spans="1:11" x14ac:dyDescent="0.2">
      <c r="A229" s="6">
        <v>319</v>
      </c>
      <c r="B229" s="6" t="s">
        <v>118</v>
      </c>
      <c r="C229" s="6" t="s">
        <v>113</v>
      </c>
      <c r="D229" s="42" t="s">
        <v>807</v>
      </c>
      <c r="E229" s="38" t="s">
        <v>802</v>
      </c>
      <c r="F229" s="49">
        <v>4.45</v>
      </c>
      <c r="G229" s="63">
        <v>2400</v>
      </c>
      <c r="H229" s="36" t="s">
        <v>654</v>
      </c>
      <c r="I229" s="36" t="s">
        <v>58</v>
      </c>
      <c r="J229" s="36" t="s">
        <v>756</v>
      </c>
      <c r="K229" s="101"/>
    </row>
    <row r="230" spans="1:11" x14ac:dyDescent="0.2">
      <c r="A230" s="5">
        <v>320</v>
      </c>
      <c r="B230" s="6" t="s">
        <v>118</v>
      </c>
      <c r="C230" s="6" t="s">
        <v>113</v>
      </c>
      <c r="D230" s="42" t="s">
        <v>808</v>
      </c>
      <c r="E230" s="38" t="s">
        <v>804</v>
      </c>
      <c r="F230" s="50">
        <v>4.45</v>
      </c>
      <c r="G230" s="63">
        <v>2400</v>
      </c>
      <c r="H230" s="36" t="s">
        <v>654</v>
      </c>
      <c r="I230" s="36" t="s">
        <v>97</v>
      </c>
      <c r="J230" s="36" t="s">
        <v>756</v>
      </c>
      <c r="K230" s="101"/>
    </row>
    <row r="231" spans="1:11" x14ac:dyDescent="0.2">
      <c r="A231" s="5">
        <v>321</v>
      </c>
      <c r="B231" s="6" t="s">
        <v>118</v>
      </c>
      <c r="C231" s="6" t="s">
        <v>113</v>
      </c>
      <c r="D231" s="42" t="s">
        <v>809</v>
      </c>
      <c r="E231" s="38" t="s">
        <v>806</v>
      </c>
      <c r="F231" s="49">
        <v>8.15</v>
      </c>
      <c r="G231" s="63">
        <v>2400</v>
      </c>
      <c r="H231" s="36" t="s">
        <v>654</v>
      </c>
      <c r="I231" s="36" t="s">
        <v>34</v>
      </c>
      <c r="J231" s="36" t="s">
        <v>756</v>
      </c>
      <c r="K231" s="101"/>
    </row>
    <row r="232" spans="1:11" x14ac:dyDescent="0.2">
      <c r="A232" s="6">
        <v>322</v>
      </c>
      <c r="B232" s="6" t="s">
        <v>118</v>
      </c>
      <c r="C232" s="6" t="s">
        <v>113</v>
      </c>
      <c r="D232" s="42" t="s">
        <v>854</v>
      </c>
      <c r="E232" s="38" t="s">
        <v>855</v>
      </c>
      <c r="F232" s="49">
        <v>8.15</v>
      </c>
      <c r="G232" s="63">
        <v>2400</v>
      </c>
      <c r="H232" s="36" t="s">
        <v>656</v>
      </c>
      <c r="I232" s="36" t="s">
        <v>89</v>
      </c>
      <c r="J232" s="36" t="s">
        <v>763</v>
      </c>
      <c r="K232" s="101"/>
    </row>
    <row r="233" spans="1:11" x14ac:dyDescent="0.2">
      <c r="A233" s="5">
        <v>323</v>
      </c>
      <c r="B233" s="6" t="s">
        <v>118</v>
      </c>
      <c r="C233" s="6" t="s">
        <v>113</v>
      </c>
      <c r="D233" s="42" t="s">
        <v>856</v>
      </c>
      <c r="E233" s="38" t="s">
        <v>843</v>
      </c>
      <c r="F233" s="49">
        <v>8.9499999999999993</v>
      </c>
      <c r="G233" s="63">
        <v>2400</v>
      </c>
      <c r="H233" s="36" t="s">
        <v>656</v>
      </c>
      <c r="I233" s="36" t="s">
        <v>36</v>
      </c>
      <c r="J233" s="36" t="s">
        <v>756</v>
      </c>
      <c r="K233" s="101"/>
    </row>
    <row r="234" spans="1:11" x14ac:dyDescent="0.2">
      <c r="A234" s="5">
        <v>324</v>
      </c>
      <c r="B234" s="6" t="s">
        <v>118</v>
      </c>
      <c r="C234" s="6" t="s">
        <v>113</v>
      </c>
      <c r="D234" s="42" t="s">
        <v>857</v>
      </c>
      <c r="E234" s="38" t="s">
        <v>845</v>
      </c>
      <c r="F234" s="49">
        <v>19.149999999999999</v>
      </c>
      <c r="G234" s="63">
        <v>2400</v>
      </c>
      <c r="H234" s="36" t="s">
        <v>656</v>
      </c>
      <c r="I234" s="36" t="s">
        <v>90</v>
      </c>
      <c r="J234" s="36" t="s">
        <v>763</v>
      </c>
      <c r="K234" s="101"/>
    </row>
    <row r="235" spans="1:11" x14ac:dyDescent="0.2">
      <c r="A235" s="5">
        <v>329</v>
      </c>
      <c r="B235" s="6" t="s">
        <v>118</v>
      </c>
      <c r="C235" s="6" t="s">
        <v>113</v>
      </c>
      <c r="D235" s="42" t="s">
        <v>773</v>
      </c>
      <c r="E235" s="38" t="s">
        <v>769</v>
      </c>
      <c r="F235" s="49">
        <v>2.5</v>
      </c>
      <c r="G235" s="63">
        <v>2400</v>
      </c>
      <c r="H235" s="36" t="s">
        <v>766</v>
      </c>
      <c r="I235" s="36" t="s">
        <v>46</v>
      </c>
      <c r="J235" s="36" t="s">
        <v>756</v>
      </c>
      <c r="K235" s="101"/>
    </row>
    <row r="236" spans="1:11" x14ac:dyDescent="0.2">
      <c r="A236" s="5">
        <v>330</v>
      </c>
      <c r="B236" s="6" t="s">
        <v>118</v>
      </c>
      <c r="C236" s="6" t="s">
        <v>113</v>
      </c>
      <c r="D236" s="42" t="s">
        <v>774</v>
      </c>
      <c r="E236" s="38" t="s">
        <v>771</v>
      </c>
      <c r="F236" s="49">
        <v>2.25</v>
      </c>
      <c r="G236" s="63">
        <v>2400</v>
      </c>
      <c r="H236" s="36" t="s">
        <v>766</v>
      </c>
      <c r="I236" s="36" t="s">
        <v>46</v>
      </c>
      <c r="J236" s="36" t="s">
        <v>763</v>
      </c>
      <c r="K236" s="101"/>
    </row>
    <row r="237" spans="1:11" x14ac:dyDescent="0.2">
      <c r="A237" s="6">
        <v>331</v>
      </c>
      <c r="B237" s="6" t="s">
        <v>118</v>
      </c>
      <c r="C237" s="6" t="s">
        <v>113</v>
      </c>
      <c r="D237" s="42" t="s">
        <v>859</v>
      </c>
      <c r="E237" s="38" t="s">
        <v>849</v>
      </c>
      <c r="F237" s="49">
        <v>9.1999999999999993</v>
      </c>
      <c r="G237" s="63">
        <v>2670</v>
      </c>
      <c r="H237" s="36" t="s">
        <v>656</v>
      </c>
      <c r="I237" s="36" t="s">
        <v>46</v>
      </c>
      <c r="J237" s="36" t="s">
        <v>756</v>
      </c>
      <c r="K237" s="101"/>
    </row>
    <row r="238" spans="1:11" x14ac:dyDescent="0.2">
      <c r="A238" s="5">
        <v>357</v>
      </c>
      <c r="B238" s="6" t="s">
        <v>118</v>
      </c>
      <c r="C238" s="6" t="s">
        <v>114</v>
      </c>
      <c r="D238" s="42" t="s">
        <v>810</v>
      </c>
      <c r="E238" s="38" t="s">
        <v>811</v>
      </c>
      <c r="F238" s="39">
        <v>4.6500000000000004</v>
      </c>
      <c r="G238" s="78">
        <v>2400</v>
      </c>
      <c r="H238" s="36" t="s">
        <v>812</v>
      </c>
      <c r="I238" s="36" t="s">
        <v>58</v>
      </c>
      <c r="J238" s="36" t="s">
        <v>752</v>
      </c>
      <c r="K238" s="46"/>
    </row>
    <row r="239" spans="1:11" x14ac:dyDescent="0.2">
      <c r="A239" s="6">
        <v>358</v>
      </c>
      <c r="B239" s="6" t="s">
        <v>118</v>
      </c>
      <c r="C239" s="6" t="s">
        <v>114</v>
      </c>
      <c r="D239" s="42" t="s">
        <v>813</v>
      </c>
      <c r="E239" s="38" t="s">
        <v>814</v>
      </c>
      <c r="F239" s="39">
        <v>4.45</v>
      </c>
      <c r="G239" s="78">
        <v>2400</v>
      </c>
      <c r="H239" s="36" t="s">
        <v>812</v>
      </c>
      <c r="I239" s="36" t="s">
        <v>89</v>
      </c>
      <c r="J239" s="36" t="s">
        <v>752</v>
      </c>
      <c r="K239" s="46"/>
    </row>
    <row r="240" spans="1:11" x14ac:dyDescent="0.2">
      <c r="A240" s="5">
        <v>359</v>
      </c>
      <c r="B240" s="6" t="s">
        <v>118</v>
      </c>
      <c r="C240" s="6" t="s">
        <v>114</v>
      </c>
      <c r="D240" s="42" t="s">
        <v>1320</v>
      </c>
      <c r="E240" s="38" t="s">
        <v>818</v>
      </c>
      <c r="F240" s="39">
        <v>7.65</v>
      </c>
      <c r="G240" s="78">
        <v>2400</v>
      </c>
      <c r="H240" s="36" t="s">
        <v>1321</v>
      </c>
      <c r="I240" s="36" t="s">
        <v>36</v>
      </c>
      <c r="J240" s="36" t="s">
        <v>738</v>
      </c>
      <c r="K240" s="46"/>
    </row>
    <row r="241" spans="1:11" x14ac:dyDescent="0.2">
      <c r="A241" s="5">
        <v>360</v>
      </c>
      <c r="B241" s="6" t="s">
        <v>118</v>
      </c>
      <c r="C241" s="6" t="s">
        <v>114</v>
      </c>
      <c r="D241" s="42" t="s">
        <v>1322</v>
      </c>
      <c r="E241" s="38" t="s">
        <v>869</v>
      </c>
      <c r="F241" s="39">
        <v>8.1999999999999993</v>
      </c>
      <c r="G241" s="78">
        <v>2400</v>
      </c>
      <c r="H241" s="36" t="s">
        <v>1323</v>
      </c>
      <c r="I241" s="36" t="s">
        <v>70</v>
      </c>
      <c r="J241" s="36" t="s">
        <v>738</v>
      </c>
      <c r="K241" s="46"/>
    </row>
    <row r="242" spans="1:11" x14ac:dyDescent="0.2">
      <c r="A242" s="6">
        <v>361</v>
      </c>
      <c r="B242" s="6" t="s">
        <v>118</v>
      </c>
      <c r="C242" s="6" t="s">
        <v>114</v>
      </c>
      <c r="D242" s="42" t="s">
        <v>972</v>
      </c>
      <c r="E242" s="38" t="s">
        <v>871</v>
      </c>
      <c r="F242" s="39">
        <v>7.75</v>
      </c>
      <c r="G242" s="78">
        <v>2400</v>
      </c>
      <c r="H242" s="36" t="s">
        <v>973</v>
      </c>
      <c r="I242" s="36" t="s">
        <v>36</v>
      </c>
      <c r="J242" s="36" t="s">
        <v>738</v>
      </c>
      <c r="K242" s="46"/>
    </row>
    <row r="243" spans="1:11" x14ac:dyDescent="0.2">
      <c r="A243" s="5">
        <v>362</v>
      </c>
      <c r="B243" s="6" t="s">
        <v>118</v>
      </c>
      <c r="C243" s="6" t="s">
        <v>114</v>
      </c>
      <c r="D243" s="42" t="s">
        <v>974</v>
      </c>
      <c r="E243" s="38" t="s">
        <v>873</v>
      </c>
      <c r="F243" s="39">
        <v>17.75</v>
      </c>
      <c r="G243" s="78">
        <v>2400</v>
      </c>
      <c r="H243" s="36" t="s">
        <v>973</v>
      </c>
      <c r="I243" s="36" t="s">
        <v>90</v>
      </c>
      <c r="J243" s="36" t="s">
        <v>752</v>
      </c>
      <c r="K243" s="46"/>
    </row>
    <row r="244" spans="1:11" x14ac:dyDescent="0.2">
      <c r="A244" s="5">
        <v>389</v>
      </c>
      <c r="B244" s="6" t="s">
        <v>119</v>
      </c>
      <c r="C244" s="6" t="s">
        <v>112</v>
      </c>
      <c r="D244" s="42" t="s">
        <v>815</v>
      </c>
      <c r="E244" s="38" t="s">
        <v>811</v>
      </c>
      <c r="F244" s="39">
        <v>4.75</v>
      </c>
      <c r="G244" s="78">
        <v>2400</v>
      </c>
      <c r="H244" s="36" t="s">
        <v>812</v>
      </c>
      <c r="I244" s="36" t="s">
        <v>58</v>
      </c>
      <c r="J244" s="36" t="s">
        <v>752</v>
      </c>
      <c r="K244" s="46"/>
    </row>
    <row r="245" spans="1:11" x14ac:dyDescent="0.2">
      <c r="A245" s="5">
        <v>390</v>
      </c>
      <c r="B245" s="6" t="s">
        <v>119</v>
      </c>
      <c r="C245" s="6" t="s">
        <v>112</v>
      </c>
      <c r="D245" s="42" t="s">
        <v>816</v>
      </c>
      <c r="E245" s="102" t="s">
        <v>104</v>
      </c>
      <c r="F245" s="39">
        <v>4.45</v>
      </c>
      <c r="G245" s="78">
        <v>2400</v>
      </c>
      <c r="H245" s="36" t="s">
        <v>812</v>
      </c>
      <c r="I245" s="36" t="s">
        <v>70</v>
      </c>
      <c r="J245" s="36" t="s">
        <v>752</v>
      </c>
      <c r="K245" s="46"/>
    </row>
    <row r="246" spans="1:11" x14ac:dyDescent="0.2">
      <c r="A246" s="6">
        <v>391</v>
      </c>
      <c r="B246" s="6" t="s">
        <v>119</v>
      </c>
      <c r="C246" s="6" t="s">
        <v>112</v>
      </c>
      <c r="D246" s="42" t="s">
        <v>817</v>
      </c>
      <c r="E246" s="38" t="s">
        <v>818</v>
      </c>
      <c r="F246" s="39">
        <v>6.8</v>
      </c>
      <c r="G246" s="78">
        <v>2400</v>
      </c>
      <c r="H246" s="36" t="s">
        <v>812</v>
      </c>
      <c r="I246" s="36" t="s">
        <v>34</v>
      </c>
      <c r="J246" s="36" t="s">
        <v>752</v>
      </c>
      <c r="K246" s="46"/>
    </row>
    <row r="247" spans="1:11" x14ac:dyDescent="0.2">
      <c r="A247" s="5">
        <v>392</v>
      </c>
      <c r="B247" s="6" t="s">
        <v>119</v>
      </c>
      <c r="C247" s="6" t="s">
        <v>112</v>
      </c>
      <c r="D247" s="42" t="s">
        <v>868</v>
      </c>
      <c r="E247" s="38" t="s">
        <v>869</v>
      </c>
      <c r="F247" s="39">
        <v>8.15</v>
      </c>
      <c r="G247" s="78">
        <v>2400</v>
      </c>
      <c r="H247" s="36" t="s">
        <v>862</v>
      </c>
      <c r="I247" s="36" t="s">
        <v>89</v>
      </c>
      <c r="J247" s="36" t="s">
        <v>738</v>
      </c>
      <c r="K247" s="46"/>
    </row>
    <row r="248" spans="1:11" x14ac:dyDescent="0.2">
      <c r="A248" s="5">
        <v>393</v>
      </c>
      <c r="B248" s="6" t="s">
        <v>119</v>
      </c>
      <c r="C248" s="6" t="s">
        <v>112</v>
      </c>
      <c r="D248" s="42" t="s">
        <v>870</v>
      </c>
      <c r="E248" s="38" t="s">
        <v>871</v>
      </c>
      <c r="F248" s="39">
        <v>8.0500000000000007</v>
      </c>
      <c r="G248" s="78">
        <v>2400</v>
      </c>
      <c r="H248" s="36" t="s">
        <v>862</v>
      </c>
      <c r="I248" s="36" t="s">
        <v>36</v>
      </c>
      <c r="J248" s="36" t="s">
        <v>738</v>
      </c>
      <c r="K248" s="46"/>
    </row>
    <row r="249" spans="1:11" x14ac:dyDescent="0.2">
      <c r="A249" s="6">
        <v>394</v>
      </c>
      <c r="B249" s="6" t="s">
        <v>119</v>
      </c>
      <c r="C249" s="6" t="s">
        <v>112</v>
      </c>
      <c r="D249" s="42" t="s">
        <v>872</v>
      </c>
      <c r="E249" s="38" t="s">
        <v>873</v>
      </c>
      <c r="F249" s="39">
        <v>17.399999999999999</v>
      </c>
      <c r="G249" s="78">
        <v>2400</v>
      </c>
      <c r="H249" s="36" t="s">
        <v>862</v>
      </c>
      <c r="I249" s="36" t="s">
        <v>90</v>
      </c>
      <c r="J249" s="36" t="s">
        <v>738</v>
      </c>
      <c r="K249" s="46"/>
    </row>
    <row r="250" spans="1:11" x14ac:dyDescent="0.2">
      <c r="A250" s="6">
        <v>397</v>
      </c>
      <c r="B250" s="6" t="s">
        <v>119</v>
      </c>
      <c r="C250" s="6" t="s">
        <v>112</v>
      </c>
      <c r="D250" s="64" t="s">
        <v>876</v>
      </c>
      <c r="E250" s="65" t="s">
        <v>877</v>
      </c>
      <c r="F250" s="120">
        <v>5.6</v>
      </c>
      <c r="G250" s="121">
        <v>2400</v>
      </c>
      <c r="H250" s="53" t="s">
        <v>862</v>
      </c>
      <c r="I250" s="53" t="s">
        <v>34</v>
      </c>
      <c r="J250" s="53" t="s">
        <v>752</v>
      </c>
      <c r="K250" s="68"/>
    </row>
    <row r="251" spans="1:11" x14ac:dyDescent="0.2">
      <c r="A251" s="5">
        <v>398</v>
      </c>
      <c r="B251" s="6" t="s">
        <v>119</v>
      </c>
      <c r="C251" s="6" t="s">
        <v>112</v>
      </c>
      <c r="D251" s="69" t="s">
        <v>878</v>
      </c>
      <c r="E251" s="31" t="s">
        <v>879</v>
      </c>
      <c r="F251" s="32">
        <v>15.85</v>
      </c>
      <c r="G251" s="34" t="s">
        <v>880</v>
      </c>
      <c r="H251" s="34" t="s">
        <v>862</v>
      </c>
      <c r="I251" s="34" t="s">
        <v>46</v>
      </c>
      <c r="J251" s="34" t="s">
        <v>738</v>
      </c>
      <c r="K251" s="72"/>
    </row>
    <row r="252" spans="1:11" x14ac:dyDescent="0.2">
      <c r="A252" s="5">
        <v>399</v>
      </c>
      <c r="B252" s="6" t="s">
        <v>119</v>
      </c>
      <c r="C252" s="6" t="s">
        <v>112</v>
      </c>
      <c r="D252" s="42" t="s">
        <v>779</v>
      </c>
      <c r="E252" s="38" t="s">
        <v>780</v>
      </c>
      <c r="F252" s="39">
        <v>5.65</v>
      </c>
      <c r="G252" s="78">
        <v>2400</v>
      </c>
      <c r="H252" s="36" t="s">
        <v>777</v>
      </c>
      <c r="I252" s="36" t="s">
        <v>101</v>
      </c>
      <c r="J252" s="36" t="s">
        <v>738</v>
      </c>
      <c r="K252" s="46"/>
    </row>
    <row r="253" spans="1:11" x14ac:dyDescent="0.2">
      <c r="A253" s="6">
        <v>403</v>
      </c>
      <c r="B253" s="6" t="s">
        <v>119</v>
      </c>
      <c r="C253" s="6" t="s">
        <v>112</v>
      </c>
      <c r="D253" s="42" t="s">
        <v>748</v>
      </c>
      <c r="E253" s="38" t="s">
        <v>743</v>
      </c>
      <c r="F253" s="39">
        <v>18.149999999999999</v>
      </c>
      <c r="G253" s="80">
        <v>2400.2669999999998</v>
      </c>
      <c r="H253" s="36" t="s">
        <v>651</v>
      </c>
      <c r="I253" s="36" t="s">
        <v>34</v>
      </c>
      <c r="J253" s="36" t="s">
        <v>738</v>
      </c>
      <c r="K253" s="46"/>
    </row>
    <row r="254" spans="1:11" x14ac:dyDescent="0.2">
      <c r="A254" s="5">
        <v>404</v>
      </c>
      <c r="B254" s="6" t="s">
        <v>119</v>
      </c>
      <c r="C254" s="6" t="s">
        <v>112</v>
      </c>
      <c r="D254" s="42" t="s">
        <v>749</v>
      </c>
      <c r="E254" s="38" t="s">
        <v>750</v>
      </c>
      <c r="F254" s="39">
        <v>18.149999999999999</v>
      </c>
      <c r="G254" s="36" t="s">
        <v>751</v>
      </c>
      <c r="H254" s="36" t="s">
        <v>651</v>
      </c>
      <c r="I254" s="36" t="s">
        <v>34</v>
      </c>
      <c r="J254" s="36" t="s">
        <v>752</v>
      </c>
      <c r="K254" s="46"/>
    </row>
    <row r="255" spans="1:11" x14ac:dyDescent="0.2">
      <c r="A255" s="5">
        <v>405</v>
      </c>
      <c r="B255" s="6" t="s">
        <v>119</v>
      </c>
      <c r="C255" s="6" t="s">
        <v>112</v>
      </c>
      <c r="D255" s="42" t="s">
        <v>783</v>
      </c>
      <c r="E255" s="38" t="s">
        <v>784</v>
      </c>
      <c r="F255" s="39">
        <v>5.3</v>
      </c>
      <c r="G255" s="78">
        <v>2400</v>
      </c>
      <c r="H255" s="36" t="s">
        <v>777</v>
      </c>
      <c r="I255" s="36" t="s">
        <v>46</v>
      </c>
      <c r="J255" s="36" t="s">
        <v>738</v>
      </c>
      <c r="K255" s="46"/>
    </row>
    <row r="256" spans="1:11" x14ac:dyDescent="0.2">
      <c r="A256" s="5">
        <v>429</v>
      </c>
      <c r="B256" s="6" t="s">
        <v>119</v>
      </c>
      <c r="C256" s="6" t="s">
        <v>113</v>
      </c>
      <c r="D256" s="42" t="s">
        <v>819</v>
      </c>
      <c r="E256" s="38" t="s">
        <v>802</v>
      </c>
      <c r="F256" s="52">
        <v>4.45</v>
      </c>
      <c r="G256" s="63">
        <v>2400</v>
      </c>
      <c r="H256" s="36" t="s">
        <v>654</v>
      </c>
      <c r="I256" s="36" t="s">
        <v>58</v>
      </c>
      <c r="J256" s="36" t="s">
        <v>756</v>
      </c>
      <c r="K256" s="46"/>
    </row>
    <row r="257" spans="1:11" x14ac:dyDescent="0.2">
      <c r="A257" s="6">
        <v>430</v>
      </c>
      <c r="B257" s="6" t="s">
        <v>119</v>
      </c>
      <c r="C257" s="6" t="s">
        <v>113</v>
      </c>
      <c r="D257" s="42" t="s">
        <v>820</v>
      </c>
      <c r="E257" s="38" t="s">
        <v>804</v>
      </c>
      <c r="F257" s="52">
        <v>4.45</v>
      </c>
      <c r="G257" s="63">
        <v>2400</v>
      </c>
      <c r="H257" s="36" t="s">
        <v>654</v>
      </c>
      <c r="I257" s="36" t="s">
        <v>97</v>
      </c>
      <c r="J257" s="36" t="s">
        <v>756</v>
      </c>
      <c r="K257" s="46"/>
    </row>
    <row r="258" spans="1:11" x14ac:dyDescent="0.2">
      <c r="A258" s="5">
        <v>431</v>
      </c>
      <c r="B258" s="6" t="s">
        <v>119</v>
      </c>
      <c r="C258" s="6" t="s">
        <v>113</v>
      </c>
      <c r="D258" s="42" t="s">
        <v>821</v>
      </c>
      <c r="E258" s="38" t="s">
        <v>806</v>
      </c>
      <c r="F258" s="52">
        <v>8.15</v>
      </c>
      <c r="G258" s="63">
        <v>2400</v>
      </c>
      <c r="H258" s="36" t="s">
        <v>654</v>
      </c>
      <c r="I258" s="36" t="s">
        <v>34</v>
      </c>
      <c r="J258" s="36" t="s">
        <v>756</v>
      </c>
      <c r="K258" s="46"/>
    </row>
    <row r="259" spans="1:11" x14ac:dyDescent="0.2">
      <c r="A259" s="5">
        <v>432</v>
      </c>
      <c r="B259" s="6" t="s">
        <v>119</v>
      </c>
      <c r="C259" s="6" t="s">
        <v>113</v>
      </c>
      <c r="D259" s="42" t="s">
        <v>885</v>
      </c>
      <c r="E259" s="38" t="s">
        <v>841</v>
      </c>
      <c r="F259" s="52">
        <v>8.15</v>
      </c>
      <c r="G259" s="63">
        <v>2400</v>
      </c>
      <c r="H259" s="36" t="s">
        <v>656</v>
      </c>
      <c r="I259" s="36" t="s">
        <v>89</v>
      </c>
      <c r="J259" s="36" t="s">
        <v>756</v>
      </c>
      <c r="K259" s="46"/>
    </row>
    <row r="260" spans="1:11" x14ac:dyDescent="0.2">
      <c r="A260" s="6">
        <v>433</v>
      </c>
      <c r="B260" s="6" t="s">
        <v>119</v>
      </c>
      <c r="C260" s="6" t="s">
        <v>113</v>
      </c>
      <c r="D260" s="42" t="s">
        <v>886</v>
      </c>
      <c r="E260" s="38" t="s">
        <v>887</v>
      </c>
      <c r="F260" s="52">
        <v>8.8000000000000007</v>
      </c>
      <c r="G260" s="63">
        <v>2400</v>
      </c>
      <c r="H260" s="36" t="s">
        <v>656</v>
      </c>
      <c r="I260" s="36" t="s">
        <v>36</v>
      </c>
      <c r="J260" s="36" t="s">
        <v>759</v>
      </c>
      <c r="K260" s="46"/>
    </row>
    <row r="261" spans="1:11" x14ac:dyDescent="0.2">
      <c r="A261" s="5">
        <v>434</v>
      </c>
      <c r="B261" s="6" t="s">
        <v>119</v>
      </c>
      <c r="C261" s="6" t="s">
        <v>113</v>
      </c>
      <c r="D261" s="42" t="s">
        <v>888</v>
      </c>
      <c r="E261" s="38" t="s">
        <v>845</v>
      </c>
      <c r="F261" s="52">
        <v>19.149999999999999</v>
      </c>
      <c r="G261" s="63">
        <v>2400</v>
      </c>
      <c r="H261" s="36" t="s">
        <v>656</v>
      </c>
      <c r="I261" s="36" t="s">
        <v>90</v>
      </c>
      <c r="J261" s="36" t="s">
        <v>756</v>
      </c>
      <c r="K261" s="46"/>
    </row>
    <row r="262" spans="1:11" x14ac:dyDescent="0.2">
      <c r="A262" s="6">
        <v>436</v>
      </c>
      <c r="B262" s="6" t="s">
        <v>119</v>
      </c>
      <c r="C262" s="6" t="s">
        <v>113</v>
      </c>
      <c r="D262" s="42" t="s">
        <v>890</v>
      </c>
      <c r="E262" s="38" t="s">
        <v>891</v>
      </c>
      <c r="F262" s="52">
        <v>3.7</v>
      </c>
      <c r="G262" s="63">
        <v>2400</v>
      </c>
      <c r="H262" s="36" t="s">
        <v>656</v>
      </c>
      <c r="I262" s="36" t="s">
        <v>34</v>
      </c>
      <c r="J262" s="36" t="s">
        <v>756</v>
      </c>
      <c r="K262" s="46"/>
    </row>
    <row r="263" spans="1:11" x14ac:dyDescent="0.2">
      <c r="A263" s="5">
        <v>437</v>
      </c>
      <c r="B263" s="6" t="s">
        <v>119</v>
      </c>
      <c r="C263" s="6" t="s">
        <v>113</v>
      </c>
      <c r="D263" s="42" t="s">
        <v>892</v>
      </c>
      <c r="E263" s="38" t="s">
        <v>893</v>
      </c>
      <c r="F263" s="52">
        <v>18.45</v>
      </c>
      <c r="G263" s="81">
        <v>2400.2669999999998</v>
      </c>
      <c r="H263" s="36" t="s">
        <v>656</v>
      </c>
      <c r="I263" s="36" t="s">
        <v>106</v>
      </c>
      <c r="J263" s="36" t="s">
        <v>759</v>
      </c>
      <c r="K263" s="46"/>
    </row>
    <row r="264" spans="1:11" x14ac:dyDescent="0.2">
      <c r="A264" s="5">
        <v>438</v>
      </c>
      <c r="B264" s="6" t="s">
        <v>119</v>
      </c>
      <c r="C264" s="6" t="s">
        <v>113</v>
      </c>
      <c r="D264" s="42" t="s">
        <v>785</v>
      </c>
      <c r="E264" s="38" t="s">
        <v>771</v>
      </c>
      <c r="F264" s="52">
        <v>5.65</v>
      </c>
      <c r="G264" s="63">
        <v>2400</v>
      </c>
      <c r="H264" s="36" t="s">
        <v>766</v>
      </c>
      <c r="I264" s="36" t="s">
        <v>101</v>
      </c>
      <c r="J264" s="36" t="s">
        <v>756</v>
      </c>
      <c r="K264" s="46"/>
    </row>
    <row r="265" spans="1:11" x14ac:dyDescent="0.2">
      <c r="A265" s="6">
        <v>442</v>
      </c>
      <c r="B265" s="6" t="s">
        <v>119</v>
      </c>
      <c r="C265" s="6" t="s">
        <v>113</v>
      </c>
      <c r="D265" s="42" t="s">
        <v>753</v>
      </c>
      <c r="E265" s="38" t="s">
        <v>754</v>
      </c>
      <c r="F265" s="52">
        <v>18.149999999999999</v>
      </c>
      <c r="G265" s="81">
        <v>2400.2669999999998</v>
      </c>
      <c r="H265" s="36" t="s">
        <v>755</v>
      </c>
      <c r="I265" s="36" t="s">
        <v>108</v>
      </c>
      <c r="J265" s="36" t="s">
        <v>756</v>
      </c>
      <c r="K265" s="46"/>
    </row>
    <row r="266" spans="1:11" x14ac:dyDescent="0.2">
      <c r="A266" s="5">
        <v>443</v>
      </c>
      <c r="B266" s="6" t="s">
        <v>119</v>
      </c>
      <c r="C266" s="6" t="s">
        <v>113</v>
      </c>
      <c r="D266" s="42" t="s">
        <v>757</v>
      </c>
      <c r="E266" s="38" t="s">
        <v>758</v>
      </c>
      <c r="F266" s="52">
        <v>18.149999999999999</v>
      </c>
      <c r="G266" s="81">
        <v>2400.2669999999998</v>
      </c>
      <c r="H266" s="36" t="s">
        <v>755</v>
      </c>
      <c r="I266" s="36" t="s">
        <v>34</v>
      </c>
      <c r="J266" s="36" t="s">
        <v>759</v>
      </c>
      <c r="K266" s="46"/>
    </row>
    <row r="267" spans="1:11" x14ac:dyDescent="0.2">
      <c r="A267" s="5">
        <v>444</v>
      </c>
      <c r="B267" s="6" t="s">
        <v>119</v>
      </c>
      <c r="C267" s="6" t="s">
        <v>113</v>
      </c>
      <c r="D267" s="42" t="s">
        <v>788</v>
      </c>
      <c r="E267" s="38" t="s">
        <v>789</v>
      </c>
      <c r="F267" s="52">
        <v>5.3</v>
      </c>
      <c r="G267" s="63">
        <v>2400</v>
      </c>
      <c r="H267" s="36" t="s">
        <v>766</v>
      </c>
      <c r="I267" s="36" t="s">
        <v>46</v>
      </c>
      <c r="J267" s="36" t="s">
        <v>756</v>
      </c>
      <c r="K267" s="46"/>
    </row>
    <row r="268" spans="1:11" x14ac:dyDescent="0.2">
      <c r="A268" s="5">
        <v>468</v>
      </c>
      <c r="B268" s="6" t="s">
        <v>119</v>
      </c>
      <c r="C268" s="6" t="s">
        <v>114</v>
      </c>
      <c r="D268" s="42" t="s">
        <v>822</v>
      </c>
      <c r="E268" s="38" t="s">
        <v>802</v>
      </c>
      <c r="F268" s="49">
        <v>4.8499999999999996</v>
      </c>
      <c r="G268" s="63">
        <v>2400</v>
      </c>
      <c r="H268" s="36" t="s">
        <v>654</v>
      </c>
      <c r="I268" s="36" t="s">
        <v>58</v>
      </c>
      <c r="J268" s="36" t="s">
        <v>756</v>
      </c>
      <c r="K268" s="46"/>
    </row>
    <row r="269" spans="1:11" x14ac:dyDescent="0.2">
      <c r="A269" s="6">
        <v>469</v>
      </c>
      <c r="B269" s="6" t="s">
        <v>119</v>
      </c>
      <c r="C269" s="6" t="s">
        <v>114</v>
      </c>
      <c r="D269" s="42" t="s">
        <v>823</v>
      </c>
      <c r="E269" s="73" t="s">
        <v>104</v>
      </c>
      <c r="F269" s="50">
        <v>4.45</v>
      </c>
      <c r="G269" s="63">
        <v>2400</v>
      </c>
      <c r="H269" s="36" t="s">
        <v>654</v>
      </c>
      <c r="I269" s="36" t="s">
        <v>89</v>
      </c>
      <c r="J269" s="36" t="s">
        <v>756</v>
      </c>
      <c r="K269" s="46"/>
    </row>
    <row r="270" spans="1:11" x14ac:dyDescent="0.2">
      <c r="A270" s="5">
        <v>470</v>
      </c>
      <c r="B270" s="6" t="s">
        <v>119</v>
      </c>
      <c r="C270" s="6" t="s">
        <v>114</v>
      </c>
      <c r="D270" s="42" t="s">
        <v>824</v>
      </c>
      <c r="E270" s="38" t="s">
        <v>806</v>
      </c>
      <c r="F270" s="49">
        <v>7.65</v>
      </c>
      <c r="G270" s="63">
        <v>2400</v>
      </c>
      <c r="H270" s="36" t="s">
        <v>654</v>
      </c>
      <c r="I270" s="36" t="s">
        <v>36</v>
      </c>
      <c r="J270" s="36" t="s">
        <v>756</v>
      </c>
      <c r="K270" s="46"/>
    </row>
    <row r="271" spans="1:11" x14ac:dyDescent="0.2">
      <c r="A271" s="5">
        <v>471</v>
      </c>
      <c r="B271" s="6" t="s">
        <v>119</v>
      </c>
      <c r="C271" s="6" t="s">
        <v>114</v>
      </c>
      <c r="D271" s="42" t="s">
        <v>896</v>
      </c>
      <c r="E271" s="38" t="s">
        <v>841</v>
      </c>
      <c r="F271" s="49">
        <v>8.1999999999999993</v>
      </c>
      <c r="G271" s="63">
        <v>2400</v>
      </c>
      <c r="H271" s="36" t="s">
        <v>656</v>
      </c>
      <c r="I271" s="36" t="s">
        <v>70</v>
      </c>
      <c r="J271" s="36" t="s">
        <v>763</v>
      </c>
      <c r="K271" s="46"/>
    </row>
    <row r="272" spans="1:11" x14ac:dyDescent="0.2">
      <c r="A272" s="6">
        <v>472</v>
      </c>
      <c r="B272" s="6" t="s">
        <v>119</v>
      </c>
      <c r="C272" s="6" t="s">
        <v>114</v>
      </c>
      <c r="D272" s="42" t="s">
        <v>897</v>
      </c>
      <c r="E272" s="38" t="s">
        <v>843</v>
      </c>
      <c r="F272" s="49">
        <v>7.75</v>
      </c>
      <c r="G272" s="63">
        <v>2400</v>
      </c>
      <c r="H272" s="36" t="s">
        <v>656</v>
      </c>
      <c r="I272" s="36" t="s">
        <v>34</v>
      </c>
      <c r="J272" s="36" t="s">
        <v>756</v>
      </c>
      <c r="K272" s="46"/>
    </row>
    <row r="273" spans="1:11" x14ac:dyDescent="0.2">
      <c r="A273" s="5">
        <v>473</v>
      </c>
      <c r="B273" s="6" t="s">
        <v>119</v>
      </c>
      <c r="C273" s="6" t="s">
        <v>114</v>
      </c>
      <c r="D273" s="42" t="s">
        <v>898</v>
      </c>
      <c r="E273" s="38" t="s">
        <v>845</v>
      </c>
      <c r="F273" s="49">
        <v>17.7</v>
      </c>
      <c r="G273" s="63">
        <v>2400</v>
      </c>
      <c r="H273" s="36" t="s">
        <v>656</v>
      </c>
      <c r="I273" s="36" t="s">
        <v>46</v>
      </c>
      <c r="J273" s="36" t="s">
        <v>763</v>
      </c>
      <c r="K273" s="46"/>
    </row>
    <row r="274" spans="1:11" x14ac:dyDescent="0.2">
      <c r="A274" s="5">
        <v>476</v>
      </c>
      <c r="B274" s="6" t="s">
        <v>119</v>
      </c>
      <c r="C274" s="6" t="s">
        <v>114</v>
      </c>
      <c r="D274" s="42" t="s">
        <v>900</v>
      </c>
      <c r="E274" s="38" t="s">
        <v>891</v>
      </c>
      <c r="F274" s="49">
        <v>5.6</v>
      </c>
      <c r="G274" s="63">
        <v>2400</v>
      </c>
      <c r="H274" s="36" t="s">
        <v>656</v>
      </c>
      <c r="I274" s="36" t="s">
        <v>34</v>
      </c>
      <c r="J274" s="36" t="s">
        <v>756</v>
      </c>
      <c r="K274" s="46"/>
    </row>
    <row r="275" spans="1:11" x14ac:dyDescent="0.2">
      <c r="A275" s="5">
        <v>477</v>
      </c>
      <c r="B275" s="6" t="s">
        <v>119</v>
      </c>
      <c r="C275" s="6" t="s">
        <v>114</v>
      </c>
      <c r="D275" s="42" t="s">
        <v>901</v>
      </c>
      <c r="E275" s="38" t="s">
        <v>893</v>
      </c>
      <c r="F275" s="49">
        <v>15.35</v>
      </c>
      <c r="G275" s="36" t="s">
        <v>792</v>
      </c>
      <c r="H275" s="36" t="s">
        <v>656</v>
      </c>
      <c r="I275" s="36" t="s">
        <v>46</v>
      </c>
      <c r="J275" s="36" t="s">
        <v>763</v>
      </c>
      <c r="K275" s="46"/>
    </row>
    <row r="276" spans="1:11" x14ac:dyDescent="0.2">
      <c r="A276" s="6">
        <v>478</v>
      </c>
      <c r="B276" s="6" t="s">
        <v>119</v>
      </c>
      <c r="C276" s="6" t="s">
        <v>114</v>
      </c>
      <c r="D276" s="42" t="s">
        <v>928</v>
      </c>
      <c r="E276" s="38" t="s">
        <v>929</v>
      </c>
      <c r="F276" s="49">
        <v>5.65</v>
      </c>
      <c r="G276" s="63">
        <v>2400</v>
      </c>
      <c r="H276" s="36" t="s">
        <v>930</v>
      </c>
      <c r="I276" s="36" t="s">
        <v>101</v>
      </c>
      <c r="J276" s="36" t="s">
        <v>756</v>
      </c>
      <c r="K276" s="46"/>
    </row>
    <row r="277" spans="1:11" x14ac:dyDescent="0.2">
      <c r="A277" s="5">
        <v>482</v>
      </c>
      <c r="B277" s="6" t="s">
        <v>119</v>
      </c>
      <c r="C277" s="6" t="s">
        <v>114</v>
      </c>
      <c r="D277" s="42" t="s">
        <v>760</v>
      </c>
      <c r="E277" s="38" t="s">
        <v>754</v>
      </c>
      <c r="F277" s="49">
        <v>18.149999999999999</v>
      </c>
      <c r="G277" s="36" t="s">
        <v>761</v>
      </c>
      <c r="H277" s="36" t="s">
        <v>755</v>
      </c>
      <c r="I277" s="36" t="s">
        <v>34</v>
      </c>
      <c r="J277" s="36" t="s">
        <v>756</v>
      </c>
      <c r="K277" s="46"/>
    </row>
    <row r="278" spans="1:11" x14ac:dyDescent="0.2">
      <c r="A278" s="5">
        <v>483</v>
      </c>
      <c r="B278" s="6" t="s">
        <v>119</v>
      </c>
      <c r="C278" s="6" t="s">
        <v>114</v>
      </c>
      <c r="D278" s="42" t="s">
        <v>762</v>
      </c>
      <c r="E278" s="38" t="s">
        <v>758</v>
      </c>
      <c r="F278" s="49">
        <v>18.149999999999999</v>
      </c>
      <c r="G278" s="36" t="s">
        <v>761</v>
      </c>
      <c r="H278" s="36" t="s">
        <v>755</v>
      </c>
      <c r="I278" s="36" t="s">
        <v>34</v>
      </c>
      <c r="J278" s="36" t="s">
        <v>763</v>
      </c>
      <c r="K278" s="46"/>
    </row>
    <row r="279" spans="1:11" x14ac:dyDescent="0.2">
      <c r="A279" s="6">
        <v>484</v>
      </c>
      <c r="B279" s="6" t="s">
        <v>119</v>
      </c>
      <c r="C279" s="6" t="s">
        <v>114</v>
      </c>
      <c r="D279" s="42" t="s">
        <v>790</v>
      </c>
      <c r="E279" s="38" t="s">
        <v>789</v>
      </c>
      <c r="F279" s="49">
        <v>5.3</v>
      </c>
      <c r="G279" s="63">
        <v>2400</v>
      </c>
      <c r="H279" s="36" t="s">
        <v>766</v>
      </c>
      <c r="I279" s="36" t="s">
        <v>46</v>
      </c>
      <c r="J279" s="36" t="s">
        <v>756</v>
      </c>
      <c r="K279" s="46"/>
    </row>
    <row r="280" spans="1:11" x14ac:dyDescent="0.2">
      <c r="A280" s="6">
        <v>508</v>
      </c>
      <c r="B280" s="6" t="s">
        <v>120</v>
      </c>
      <c r="C280" s="6" t="s">
        <v>112</v>
      </c>
      <c r="D280" s="42" t="s">
        <v>825</v>
      </c>
      <c r="E280" s="38" t="s">
        <v>802</v>
      </c>
      <c r="F280" s="50">
        <v>4.75</v>
      </c>
      <c r="G280" s="63">
        <v>2400</v>
      </c>
      <c r="H280" s="36" t="s">
        <v>654</v>
      </c>
      <c r="I280" s="36" t="s">
        <v>58</v>
      </c>
      <c r="J280" s="36" t="s">
        <v>756</v>
      </c>
      <c r="K280" s="101"/>
    </row>
    <row r="281" spans="1:11" x14ac:dyDescent="0.2">
      <c r="A281" s="5">
        <v>509</v>
      </c>
      <c r="B281" s="6" t="s">
        <v>120</v>
      </c>
      <c r="C281" s="6" t="s">
        <v>112</v>
      </c>
      <c r="D281" s="42" t="s">
        <v>826</v>
      </c>
      <c r="E281" s="38" t="s">
        <v>804</v>
      </c>
      <c r="F281" s="49">
        <v>4.45</v>
      </c>
      <c r="G281" s="63">
        <v>2400</v>
      </c>
      <c r="H281" s="36" t="s">
        <v>654</v>
      </c>
      <c r="I281" s="36" t="s">
        <v>70</v>
      </c>
      <c r="J281" s="36" t="s">
        <v>756</v>
      </c>
      <c r="K281" s="101"/>
    </row>
    <row r="282" spans="1:11" x14ac:dyDescent="0.2">
      <c r="A282" s="5">
        <v>510</v>
      </c>
      <c r="B282" s="6" t="s">
        <v>120</v>
      </c>
      <c r="C282" s="6" t="s">
        <v>112</v>
      </c>
      <c r="D282" s="42" t="s">
        <v>827</v>
      </c>
      <c r="E282" s="38" t="s">
        <v>806</v>
      </c>
      <c r="F282" s="49">
        <v>6.8</v>
      </c>
      <c r="G282" s="63">
        <v>2400</v>
      </c>
      <c r="H282" s="36" t="s">
        <v>654</v>
      </c>
      <c r="I282" s="36" t="s">
        <v>34</v>
      </c>
      <c r="J282" s="36" t="s">
        <v>756</v>
      </c>
      <c r="K282" s="101"/>
    </row>
    <row r="283" spans="1:11" x14ac:dyDescent="0.2">
      <c r="A283" s="6">
        <v>511</v>
      </c>
      <c r="B283" s="6" t="s">
        <v>120</v>
      </c>
      <c r="C283" s="6" t="s">
        <v>112</v>
      </c>
      <c r="D283" s="42" t="s">
        <v>906</v>
      </c>
      <c r="E283" s="38" t="s">
        <v>855</v>
      </c>
      <c r="F283" s="49">
        <v>8.15</v>
      </c>
      <c r="G283" s="63">
        <v>2400</v>
      </c>
      <c r="H283" s="36" t="s">
        <v>656</v>
      </c>
      <c r="I283" s="36" t="s">
        <v>89</v>
      </c>
      <c r="J283" s="36" t="s">
        <v>756</v>
      </c>
      <c r="K283" s="101"/>
    </row>
    <row r="284" spans="1:11" x14ac:dyDescent="0.2">
      <c r="A284" s="5">
        <v>512</v>
      </c>
      <c r="B284" s="6" t="s">
        <v>120</v>
      </c>
      <c r="C284" s="6" t="s">
        <v>112</v>
      </c>
      <c r="D284" s="64" t="s">
        <v>907</v>
      </c>
      <c r="E284" s="65" t="s">
        <v>843</v>
      </c>
      <c r="F284" s="66">
        <v>8.15</v>
      </c>
      <c r="G284" s="67">
        <v>2400</v>
      </c>
      <c r="H284" s="53" t="s">
        <v>656</v>
      </c>
      <c r="I284" s="53" t="s">
        <v>36</v>
      </c>
      <c r="J284" s="53" t="s">
        <v>756</v>
      </c>
      <c r="K284" s="139"/>
    </row>
    <row r="285" spans="1:11" x14ac:dyDescent="0.2">
      <c r="A285" s="5">
        <v>513</v>
      </c>
      <c r="B285" s="6" t="s">
        <v>120</v>
      </c>
      <c r="C285" s="6" t="s">
        <v>112</v>
      </c>
      <c r="D285" s="69" t="s">
        <v>908</v>
      </c>
      <c r="E285" s="31" t="s">
        <v>845</v>
      </c>
      <c r="F285" s="70">
        <v>17.399999999999999</v>
      </c>
      <c r="G285" s="71">
        <v>2400</v>
      </c>
      <c r="H285" s="34" t="s">
        <v>656</v>
      </c>
      <c r="I285" s="34" t="s">
        <v>90</v>
      </c>
      <c r="J285" s="34" t="s">
        <v>763</v>
      </c>
      <c r="K285" s="162"/>
    </row>
    <row r="286" spans="1:11" x14ac:dyDescent="0.2">
      <c r="A286" s="5">
        <v>518</v>
      </c>
      <c r="B286" s="6" t="s">
        <v>120</v>
      </c>
      <c r="C286" s="6" t="s">
        <v>112</v>
      </c>
      <c r="D286" s="42" t="s">
        <v>793</v>
      </c>
      <c r="E286" s="38" t="s">
        <v>769</v>
      </c>
      <c r="F286" s="49">
        <v>2.5</v>
      </c>
      <c r="G286" s="63">
        <v>2400</v>
      </c>
      <c r="H286" s="36" t="s">
        <v>766</v>
      </c>
      <c r="I286" s="36" t="s">
        <v>46</v>
      </c>
      <c r="J286" s="36" t="s">
        <v>763</v>
      </c>
      <c r="K286" s="101"/>
    </row>
    <row r="287" spans="1:11" x14ac:dyDescent="0.2">
      <c r="A287" s="5">
        <v>519</v>
      </c>
      <c r="B287" s="6" t="s">
        <v>120</v>
      </c>
      <c r="C287" s="6" t="s">
        <v>112</v>
      </c>
      <c r="D287" s="42" t="s">
        <v>794</v>
      </c>
      <c r="E287" s="38" t="s">
        <v>771</v>
      </c>
      <c r="F287" s="49">
        <v>2.15</v>
      </c>
      <c r="G287" s="63">
        <v>2400</v>
      </c>
      <c r="H287" s="36" t="s">
        <v>766</v>
      </c>
      <c r="I287" s="36" t="s">
        <v>46</v>
      </c>
      <c r="J287" s="36" t="s">
        <v>756</v>
      </c>
      <c r="K287" s="101"/>
    </row>
    <row r="288" spans="1:11" x14ac:dyDescent="0.2">
      <c r="A288" s="6">
        <v>520</v>
      </c>
      <c r="B288" s="6" t="s">
        <v>120</v>
      </c>
      <c r="C288" s="6" t="s">
        <v>112</v>
      </c>
      <c r="D288" s="42" t="s">
        <v>910</v>
      </c>
      <c r="E288" s="38" t="s">
        <v>911</v>
      </c>
      <c r="F288" s="49">
        <v>9.25</v>
      </c>
      <c r="G288" s="63">
        <v>2670</v>
      </c>
      <c r="H288" s="36" t="s">
        <v>656</v>
      </c>
      <c r="I288" s="36" t="s">
        <v>46</v>
      </c>
      <c r="J288" s="36" t="s">
        <v>763</v>
      </c>
      <c r="K288" s="101"/>
    </row>
    <row r="289" spans="1:11" x14ac:dyDescent="0.2">
      <c r="A289" s="6">
        <v>547</v>
      </c>
      <c r="B289" s="6" t="s">
        <v>120</v>
      </c>
      <c r="C289" s="6" t="s">
        <v>113</v>
      </c>
      <c r="D289" s="42" t="s">
        <v>828</v>
      </c>
      <c r="E289" s="38" t="s">
        <v>802</v>
      </c>
      <c r="F289" s="49">
        <v>4.45</v>
      </c>
      <c r="G289" s="63">
        <v>2400</v>
      </c>
      <c r="H289" s="36" t="s">
        <v>654</v>
      </c>
      <c r="I289" s="36" t="s">
        <v>58</v>
      </c>
      <c r="J289" s="36" t="s">
        <v>756</v>
      </c>
      <c r="K289" s="46"/>
    </row>
    <row r="290" spans="1:11" x14ac:dyDescent="0.2">
      <c r="A290" s="5">
        <v>548</v>
      </c>
      <c r="B290" s="6" t="s">
        <v>120</v>
      </c>
      <c r="C290" s="6" t="s">
        <v>113</v>
      </c>
      <c r="D290" s="42" t="s">
        <v>829</v>
      </c>
      <c r="E290" s="38" t="s">
        <v>804</v>
      </c>
      <c r="F290" s="49">
        <v>4.45</v>
      </c>
      <c r="G290" s="63">
        <v>2400</v>
      </c>
      <c r="H290" s="36" t="s">
        <v>654</v>
      </c>
      <c r="I290" s="36" t="s">
        <v>97</v>
      </c>
      <c r="J290" s="36" t="s">
        <v>756</v>
      </c>
      <c r="K290" s="46"/>
    </row>
    <row r="291" spans="1:11" x14ac:dyDescent="0.2">
      <c r="A291" s="5">
        <v>549</v>
      </c>
      <c r="B291" s="6" t="s">
        <v>120</v>
      </c>
      <c r="C291" s="6" t="s">
        <v>113</v>
      </c>
      <c r="D291" s="42" t="s">
        <v>830</v>
      </c>
      <c r="E291" s="38" t="s">
        <v>806</v>
      </c>
      <c r="F291" s="49">
        <v>8.15</v>
      </c>
      <c r="G291" s="63">
        <v>2400</v>
      </c>
      <c r="H291" s="36" t="s">
        <v>654</v>
      </c>
      <c r="I291" s="36" t="s">
        <v>34</v>
      </c>
      <c r="J291" s="36" t="s">
        <v>756</v>
      </c>
      <c r="K291" s="46"/>
    </row>
    <row r="292" spans="1:11" x14ac:dyDescent="0.2">
      <c r="A292" s="6">
        <v>550</v>
      </c>
      <c r="B292" s="6" t="s">
        <v>120</v>
      </c>
      <c r="C292" s="6" t="s">
        <v>113</v>
      </c>
      <c r="D292" s="42" t="s">
        <v>916</v>
      </c>
      <c r="E292" s="38" t="s">
        <v>855</v>
      </c>
      <c r="F292" s="49">
        <v>8.15</v>
      </c>
      <c r="G292" s="63">
        <v>2400</v>
      </c>
      <c r="H292" s="36" t="s">
        <v>656</v>
      </c>
      <c r="I292" s="36" t="s">
        <v>89</v>
      </c>
      <c r="J292" s="36" t="s">
        <v>756</v>
      </c>
      <c r="K292" s="46"/>
    </row>
    <row r="293" spans="1:11" x14ac:dyDescent="0.2">
      <c r="A293" s="5">
        <v>551</v>
      </c>
      <c r="B293" s="6" t="s">
        <v>120</v>
      </c>
      <c r="C293" s="6" t="s">
        <v>113</v>
      </c>
      <c r="D293" s="42" t="s">
        <v>917</v>
      </c>
      <c r="E293" s="38" t="s">
        <v>843</v>
      </c>
      <c r="F293" s="49">
        <v>8.8000000000000007</v>
      </c>
      <c r="G293" s="63">
        <v>2400</v>
      </c>
      <c r="H293" s="36" t="s">
        <v>656</v>
      </c>
      <c r="I293" s="36" t="s">
        <v>36</v>
      </c>
      <c r="J293" s="36" t="s">
        <v>763</v>
      </c>
      <c r="K293" s="46"/>
    </row>
    <row r="294" spans="1:11" x14ac:dyDescent="0.2">
      <c r="A294" s="5">
        <v>552</v>
      </c>
      <c r="B294" s="6" t="s">
        <v>120</v>
      </c>
      <c r="C294" s="6" t="s">
        <v>113</v>
      </c>
      <c r="D294" s="42" t="s">
        <v>908</v>
      </c>
      <c r="E294" s="38" t="s">
        <v>845</v>
      </c>
      <c r="F294" s="49">
        <v>19.149999999999999</v>
      </c>
      <c r="G294" s="63">
        <v>2400</v>
      </c>
      <c r="H294" s="36" t="s">
        <v>656</v>
      </c>
      <c r="I294" s="36" t="s">
        <v>90</v>
      </c>
      <c r="J294" s="36" t="s">
        <v>756</v>
      </c>
      <c r="K294" s="46"/>
    </row>
    <row r="295" spans="1:11" x14ac:dyDescent="0.2">
      <c r="A295" s="5">
        <v>557</v>
      </c>
      <c r="B295" s="6" t="s">
        <v>120</v>
      </c>
      <c r="C295" s="6" t="s">
        <v>113</v>
      </c>
      <c r="D295" s="42" t="s">
        <v>796</v>
      </c>
      <c r="E295" s="38" t="s">
        <v>769</v>
      </c>
      <c r="F295" s="49">
        <v>2.5</v>
      </c>
      <c r="G295" s="63">
        <v>2400</v>
      </c>
      <c r="H295" s="36" t="s">
        <v>766</v>
      </c>
      <c r="I295" s="36" t="s">
        <v>46</v>
      </c>
      <c r="J295" s="36" t="s">
        <v>763</v>
      </c>
      <c r="K295" s="46"/>
    </row>
    <row r="296" spans="1:11" x14ac:dyDescent="0.2">
      <c r="A296" s="5">
        <v>558</v>
      </c>
      <c r="B296" s="6" t="s">
        <v>120</v>
      </c>
      <c r="C296" s="6" t="s">
        <v>113</v>
      </c>
      <c r="D296" s="42" t="s">
        <v>797</v>
      </c>
      <c r="E296" s="38" t="s">
        <v>771</v>
      </c>
      <c r="F296" s="49">
        <v>2.25</v>
      </c>
      <c r="G296" s="63">
        <v>2400</v>
      </c>
      <c r="H296" s="36" t="s">
        <v>766</v>
      </c>
      <c r="I296" s="36" t="s">
        <v>46</v>
      </c>
      <c r="J296" s="36" t="s">
        <v>756</v>
      </c>
      <c r="K296" s="46"/>
    </row>
    <row r="297" spans="1:11" x14ac:dyDescent="0.2">
      <c r="A297" s="6">
        <v>559</v>
      </c>
      <c r="B297" s="6" t="s">
        <v>120</v>
      </c>
      <c r="C297" s="6" t="s">
        <v>113</v>
      </c>
      <c r="D297" s="42" t="s">
        <v>919</v>
      </c>
      <c r="E297" s="38" t="s">
        <v>849</v>
      </c>
      <c r="F297" s="49">
        <v>9.1999999999999993</v>
      </c>
      <c r="G297" s="63">
        <v>2670</v>
      </c>
      <c r="H297" s="36" t="s">
        <v>656</v>
      </c>
      <c r="I297" s="36" t="s">
        <v>46</v>
      </c>
      <c r="J297" s="36" t="s">
        <v>763</v>
      </c>
      <c r="K297" s="46"/>
    </row>
    <row r="298" spans="1:11" x14ac:dyDescent="0.2">
      <c r="A298" s="6">
        <v>586</v>
      </c>
      <c r="B298" s="6" t="s">
        <v>120</v>
      </c>
      <c r="C298" s="6" t="s">
        <v>114</v>
      </c>
      <c r="D298" s="42" t="s">
        <v>831</v>
      </c>
      <c r="E298" s="38" t="s">
        <v>802</v>
      </c>
      <c r="F298" s="49">
        <v>4.8499999999999996</v>
      </c>
      <c r="G298" s="63">
        <v>2400</v>
      </c>
      <c r="H298" s="36" t="s">
        <v>654</v>
      </c>
      <c r="I298" s="36" t="s">
        <v>58</v>
      </c>
      <c r="J298" s="36" t="s">
        <v>756</v>
      </c>
      <c r="K298" s="46"/>
    </row>
    <row r="299" spans="1:11" x14ac:dyDescent="0.2">
      <c r="A299" s="5">
        <v>587</v>
      </c>
      <c r="B299" s="6" t="s">
        <v>120</v>
      </c>
      <c r="C299" s="6" t="s">
        <v>114</v>
      </c>
      <c r="D299" s="42" t="s">
        <v>832</v>
      </c>
      <c r="E299" s="73" t="s">
        <v>104</v>
      </c>
      <c r="F299" s="49">
        <v>4.45</v>
      </c>
      <c r="G299" s="63">
        <v>2400</v>
      </c>
      <c r="H299" s="36" t="s">
        <v>654</v>
      </c>
      <c r="I299" s="36" t="s">
        <v>89</v>
      </c>
      <c r="J299" s="36" t="s">
        <v>833</v>
      </c>
      <c r="K299" s="46"/>
    </row>
    <row r="300" spans="1:11" x14ac:dyDescent="0.2">
      <c r="A300" s="5">
        <v>588</v>
      </c>
      <c r="B300" s="6" t="s">
        <v>120</v>
      </c>
      <c r="C300" s="6" t="s">
        <v>114</v>
      </c>
      <c r="D300" s="42" t="s">
        <v>834</v>
      </c>
      <c r="E300" s="38" t="s">
        <v>806</v>
      </c>
      <c r="F300" s="49">
        <v>7.65</v>
      </c>
      <c r="G300" s="63">
        <v>2400</v>
      </c>
      <c r="H300" s="36" t="s">
        <v>654</v>
      </c>
      <c r="I300" s="36" t="s">
        <v>36</v>
      </c>
      <c r="J300" s="36" t="s">
        <v>756</v>
      </c>
      <c r="K300" s="46"/>
    </row>
    <row r="301" spans="1:11" x14ac:dyDescent="0.2">
      <c r="A301" s="6">
        <v>589</v>
      </c>
      <c r="B301" s="6" t="s">
        <v>120</v>
      </c>
      <c r="C301" s="6" t="s">
        <v>114</v>
      </c>
      <c r="D301" s="42" t="s">
        <v>924</v>
      </c>
      <c r="E301" s="38" t="s">
        <v>841</v>
      </c>
      <c r="F301" s="49">
        <v>8.1999999999999993</v>
      </c>
      <c r="G301" s="63">
        <v>2400</v>
      </c>
      <c r="H301" s="36" t="s">
        <v>656</v>
      </c>
      <c r="I301" s="36" t="s">
        <v>70</v>
      </c>
      <c r="J301" s="36" t="s">
        <v>763</v>
      </c>
      <c r="K301" s="46"/>
    </row>
    <row r="302" spans="1:11" x14ac:dyDescent="0.2">
      <c r="A302" s="5">
        <v>590</v>
      </c>
      <c r="B302" s="6" t="s">
        <v>120</v>
      </c>
      <c r="C302" s="6" t="s">
        <v>114</v>
      </c>
      <c r="D302" s="42" t="s">
        <v>925</v>
      </c>
      <c r="E302" s="38" t="s">
        <v>843</v>
      </c>
      <c r="F302" s="49">
        <v>7.75</v>
      </c>
      <c r="G302" s="63">
        <v>2400</v>
      </c>
      <c r="H302" s="36" t="s">
        <v>656</v>
      </c>
      <c r="I302" s="36" t="s">
        <v>34</v>
      </c>
      <c r="J302" s="36" t="s">
        <v>756</v>
      </c>
      <c r="K302" s="46"/>
    </row>
    <row r="303" spans="1:11" x14ac:dyDescent="0.2">
      <c r="A303" s="5">
        <v>591</v>
      </c>
      <c r="B303" s="6" t="s">
        <v>120</v>
      </c>
      <c r="C303" s="6" t="s">
        <v>114</v>
      </c>
      <c r="D303" s="42" t="s">
        <v>908</v>
      </c>
      <c r="E303" s="38" t="s">
        <v>845</v>
      </c>
      <c r="F303" s="49">
        <v>17.7</v>
      </c>
      <c r="G303" s="63">
        <v>2400</v>
      </c>
      <c r="H303" s="36" t="s">
        <v>656</v>
      </c>
      <c r="I303" s="36" t="s">
        <v>46</v>
      </c>
      <c r="J303" s="36" t="s">
        <v>763</v>
      </c>
      <c r="K303" s="46"/>
    </row>
    <row r="304" spans="1:11" x14ac:dyDescent="0.2">
      <c r="A304" s="5">
        <v>596</v>
      </c>
      <c r="B304" s="6" t="s">
        <v>120</v>
      </c>
      <c r="C304" s="6" t="s">
        <v>114</v>
      </c>
      <c r="D304" s="42" t="s">
        <v>799</v>
      </c>
      <c r="E304" s="38" t="s">
        <v>769</v>
      </c>
      <c r="F304" s="49">
        <v>2.5</v>
      </c>
      <c r="G304" s="63">
        <v>2400</v>
      </c>
      <c r="H304" s="36" t="s">
        <v>766</v>
      </c>
      <c r="I304" s="36" t="s">
        <v>46</v>
      </c>
      <c r="J304" s="36" t="s">
        <v>756</v>
      </c>
      <c r="K304" s="46"/>
    </row>
    <row r="305" spans="1:11" x14ac:dyDescent="0.2">
      <c r="A305" s="5">
        <v>597</v>
      </c>
      <c r="B305" s="6" t="s">
        <v>120</v>
      </c>
      <c r="C305" s="6" t="s">
        <v>114</v>
      </c>
      <c r="D305" s="42" t="s">
        <v>800</v>
      </c>
      <c r="E305" s="38" t="s">
        <v>771</v>
      </c>
      <c r="F305" s="49">
        <v>2.2000000000000002</v>
      </c>
      <c r="G305" s="63">
        <v>2400</v>
      </c>
      <c r="H305" s="36" t="s">
        <v>766</v>
      </c>
      <c r="I305" s="36" t="s">
        <v>46</v>
      </c>
      <c r="J305" s="36" t="s">
        <v>763</v>
      </c>
      <c r="K305" s="46"/>
    </row>
    <row r="306" spans="1:11" x14ac:dyDescent="0.2">
      <c r="A306" s="6">
        <v>598</v>
      </c>
      <c r="B306" s="6" t="s">
        <v>120</v>
      </c>
      <c r="C306" s="6" t="s">
        <v>114</v>
      </c>
      <c r="D306" s="42" t="s">
        <v>927</v>
      </c>
      <c r="E306" s="38" t="s">
        <v>849</v>
      </c>
      <c r="F306" s="49">
        <v>9</v>
      </c>
      <c r="G306" s="63">
        <v>2670</v>
      </c>
      <c r="H306" s="36" t="s">
        <v>656</v>
      </c>
      <c r="I306" s="36" t="s">
        <v>46</v>
      </c>
      <c r="J306" s="36" t="s">
        <v>756</v>
      </c>
      <c r="K306" s="46"/>
    </row>
    <row r="307" spans="1:11" x14ac:dyDescent="0.2">
      <c r="A307" s="82">
        <v>296</v>
      </c>
      <c r="B307" s="83" t="s">
        <v>118</v>
      </c>
      <c r="C307" s="83" t="s">
        <v>112</v>
      </c>
      <c r="D307" s="84" t="s">
        <v>128</v>
      </c>
      <c r="E307" s="85" t="s">
        <v>129</v>
      </c>
      <c r="F307" s="86">
        <f t="shared" ref="F307:F338" si="0">41.7-6.24</f>
        <v>35.46</v>
      </c>
      <c r="G307" s="87">
        <v>2400.2669999999998</v>
      </c>
      <c r="H307" s="45" t="s">
        <v>103</v>
      </c>
      <c r="I307" s="45" t="s">
        <v>46</v>
      </c>
      <c r="J307" s="45" t="s">
        <v>26</v>
      </c>
      <c r="K307" s="88"/>
    </row>
    <row r="308" spans="1:11" x14ac:dyDescent="0.2">
      <c r="A308" s="82">
        <v>297</v>
      </c>
      <c r="B308" s="83" t="s">
        <v>118</v>
      </c>
      <c r="C308" s="83" t="s">
        <v>112</v>
      </c>
      <c r="D308" s="84" t="s">
        <v>131</v>
      </c>
      <c r="E308" s="85" t="s">
        <v>129</v>
      </c>
      <c r="F308" s="86">
        <f t="shared" si="0"/>
        <v>35.46</v>
      </c>
      <c r="G308" s="45" t="s">
        <v>132</v>
      </c>
      <c r="H308" s="45" t="s">
        <v>103</v>
      </c>
      <c r="I308" s="45" t="s">
        <v>94</v>
      </c>
      <c r="J308" s="45" t="s">
        <v>26</v>
      </c>
      <c r="K308" s="88"/>
    </row>
    <row r="309" spans="1:11" x14ac:dyDescent="0.2">
      <c r="A309" s="83">
        <v>298</v>
      </c>
      <c r="B309" s="83" t="s">
        <v>118</v>
      </c>
      <c r="C309" s="83" t="s">
        <v>112</v>
      </c>
      <c r="D309" s="84" t="s">
        <v>133</v>
      </c>
      <c r="E309" s="85" t="s">
        <v>129</v>
      </c>
      <c r="F309" s="86">
        <f t="shared" si="0"/>
        <v>35.46</v>
      </c>
      <c r="G309" s="87">
        <v>2400.2669999999998</v>
      </c>
      <c r="H309" s="45" t="s">
        <v>103</v>
      </c>
      <c r="I309" s="45" t="s">
        <v>46</v>
      </c>
      <c r="J309" s="45" t="s">
        <v>26</v>
      </c>
      <c r="K309" s="88"/>
    </row>
    <row r="310" spans="1:11" x14ac:dyDescent="0.2">
      <c r="A310" s="82">
        <v>299</v>
      </c>
      <c r="B310" s="83" t="s">
        <v>118</v>
      </c>
      <c r="C310" s="83" t="s">
        <v>112</v>
      </c>
      <c r="D310" s="84" t="s">
        <v>134</v>
      </c>
      <c r="E310" s="85" t="s">
        <v>129</v>
      </c>
      <c r="F310" s="86">
        <f t="shared" si="0"/>
        <v>35.46</v>
      </c>
      <c r="G310" s="87">
        <v>2400.2669999999998</v>
      </c>
      <c r="H310" s="45" t="s">
        <v>103</v>
      </c>
      <c r="I310" s="45" t="s">
        <v>46</v>
      </c>
      <c r="J310" s="45" t="s">
        <v>26</v>
      </c>
      <c r="K310" s="88"/>
    </row>
    <row r="311" spans="1:11" x14ac:dyDescent="0.2">
      <c r="A311" s="82">
        <v>300</v>
      </c>
      <c r="B311" s="83" t="s">
        <v>118</v>
      </c>
      <c r="C311" s="83" t="s">
        <v>112</v>
      </c>
      <c r="D311" s="84" t="s">
        <v>135</v>
      </c>
      <c r="E311" s="85" t="s">
        <v>129</v>
      </c>
      <c r="F311" s="86">
        <f t="shared" si="0"/>
        <v>35.46</v>
      </c>
      <c r="G311" s="87">
        <v>2400.2669999999998</v>
      </c>
      <c r="H311" s="45" t="s">
        <v>103</v>
      </c>
      <c r="I311" s="45" t="s">
        <v>94</v>
      </c>
      <c r="J311" s="45" t="s">
        <v>26</v>
      </c>
      <c r="K311" s="88"/>
    </row>
    <row r="312" spans="1:11" x14ac:dyDescent="0.2">
      <c r="A312" s="83">
        <v>301</v>
      </c>
      <c r="B312" s="83" t="s">
        <v>118</v>
      </c>
      <c r="C312" s="83" t="s">
        <v>112</v>
      </c>
      <c r="D312" s="84" t="s">
        <v>136</v>
      </c>
      <c r="E312" s="85" t="s">
        <v>129</v>
      </c>
      <c r="F312" s="86">
        <f t="shared" si="0"/>
        <v>35.46</v>
      </c>
      <c r="G312" s="45" t="s">
        <v>132</v>
      </c>
      <c r="H312" s="45" t="s">
        <v>103</v>
      </c>
      <c r="I312" s="45" t="s">
        <v>46</v>
      </c>
      <c r="J312" s="45" t="s">
        <v>26</v>
      </c>
      <c r="K312" s="88"/>
    </row>
    <row r="313" spans="1:11" x14ac:dyDescent="0.2">
      <c r="A313" s="82">
        <v>302</v>
      </c>
      <c r="B313" s="83" t="s">
        <v>118</v>
      </c>
      <c r="C313" s="83" t="s">
        <v>112</v>
      </c>
      <c r="D313" s="84" t="s">
        <v>137</v>
      </c>
      <c r="E313" s="85" t="s">
        <v>129</v>
      </c>
      <c r="F313" s="86">
        <f t="shared" si="0"/>
        <v>35.46</v>
      </c>
      <c r="G313" s="87">
        <v>2400.2669999999998</v>
      </c>
      <c r="H313" s="45" t="s">
        <v>103</v>
      </c>
      <c r="I313" s="45" t="s">
        <v>94</v>
      </c>
      <c r="J313" s="45" t="s">
        <v>26</v>
      </c>
      <c r="K313" s="88"/>
    </row>
    <row r="314" spans="1:11" x14ac:dyDescent="0.2">
      <c r="A314" s="82">
        <v>303</v>
      </c>
      <c r="B314" s="83" t="s">
        <v>118</v>
      </c>
      <c r="C314" s="83" t="s">
        <v>112</v>
      </c>
      <c r="D314" s="84" t="s">
        <v>138</v>
      </c>
      <c r="E314" s="85" t="s">
        <v>129</v>
      </c>
      <c r="F314" s="86">
        <f t="shared" si="0"/>
        <v>35.46</v>
      </c>
      <c r="G314" s="87">
        <v>2400.2669999999998</v>
      </c>
      <c r="H314" s="45" t="s">
        <v>103</v>
      </c>
      <c r="I314" s="45" t="s">
        <v>94</v>
      </c>
      <c r="J314" s="45" t="s">
        <v>26</v>
      </c>
      <c r="K314" s="88"/>
    </row>
    <row r="315" spans="1:11" x14ac:dyDescent="0.2">
      <c r="A315" s="83">
        <v>304</v>
      </c>
      <c r="B315" s="83" t="s">
        <v>118</v>
      </c>
      <c r="C315" s="83" t="s">
        <v>112</v>
      </c>
      <c r="D315" s="84" t="s">
        <v>139</v>
      </c>
      <c r="E315" s="85" t="s">
        <v>129</v>
      </c>
      <c r="F315" s="86">
        <f t="shared" si="0"/>
        <v>35.46</v>
      </c>
      <c r="G315" s="87">
        <v>2400.2669999999998</v>
      </c>
      <c r="H315" s="45" t="s">
        <v>103</v>
      </c>
      <c r="I315" s="45" t="s">
        <v>94</v>
      </c>
      <c r="J315" s="45" t="s">
        <v>26</v>
      </c>
      <c r="K315" s="88"/>
    </row>
    <row r="316" spans="1:11" x14ac:dyDescent="0.2">
      <c r="A316" s="82">
        <v>335</v>
      </c>
      <c r="B316" s="83" t="s">
        <v>118</v>
      </c>
      <c r="C316" s="83" t="s">
        <v>113</v>
      </c>
      <c r="D316" s="84" t="s">
        <v>140</v>
      </c>
      <c r="E316" s="85" t="s">
        <v>129</v>
      </c>
      <c r="F316" s="86">
        <f t="shared" si="0"/>
        <v>35.46</v>
      </c>
      <c r="G316" s="87">
        <v>2400.2669999999998</v>
      </c>
      <c r="H316" s="45" t="s">
        <v>103</v>
      </c>
      <c r="I316" s="45" t="s">
        <v>46</v>
      </c>
      <c r="J316" s="45" t="s">
        <v>26</v>
      </c>
      <c r="K316" s="99"/>
    </row>
    <row r="317" spans="1:11" x14ac:dyDescent="0.2">
      <c r="A317" s="82">
        <v>336</v>
      </c>
      <c r="B317" s="83" t="s">
        <v>118</v>
      </c>
      <c r="C317" s="83" t="s">
        <v>113</v>
      </c>
      <c r="D317" s="84" t="s">
        <v>141</v>
      </c>
      <c r="E317" s="85" t="s">
        <v>129</v>
      </c>
      <c r="F317" s="86">
        <f t="shared" si="0"/>
        <v>35.46</v>
      </c>
      <c r="G317" s="87">
        <v>2400.2669999999998</v>
      </c>
      <c r="H317" s="45" t="s">
        <v>103</v>
      </c>
      <c r="I317" s="45" t="s">
        <v>94</v>
      </c>
      <c r="J317" s="45" t="s">
        <v>26</v>
      </c>
      <c r="K317" s="99"/>
    </row>
    <row r="318" spans="1:11" x14ac:dyDescent="0.2">
      <c r="A318" s="83">
        <v>337</v>
      </c>
      <c r="B318" s="83" t="s">
        <v>118</v>
      </c>
      <c r="C318" s="83" t="s">
        <v>113</v>
      </c>
      <c r="D318" s="89" t="s">
        <v>142</v>
      </c>
      <c r="E318" s="90" t="s">
        <v>129</v>
      </c>
      <c r="F318" s="86">
        <f t="shared" si="0"/>
        <v>35.46</v>
      </c>
      <c r="G318" s="91">
        <v>2400.2669999999998</v>
      </c>
      <c r="H318" s="92" t="s">
        <v>103</v>
      </c>
      <c r="I318" s="92" t="s">
        <v>46</v>
      </c>
      <c r="J318" s="45" t="s">
        <v>26</v>
      </c>
      <c r="K318" s="93"/>
    </row>
    <row r="319" spans="1:11" x14ac:dyDescent="0.2">
      <c r="A319" s="82">
        <v>338</v>
      </c>
      <c r="B319" s="83" t="s">
        <v>118</v>
      </c>
      <c r="C319" s="83" t="s">
        <v>113</v>
      </c>
      <c r="D319" s="84" t="s">
        <v>143</v>
      </c>
      <c r="E319" s="85" t="s">
        <v>129</v>
      </c>
      <c r="F319" s="86">
        <f t="shared" si="0"/>
        <v>35.46</v>
      </c>
      <c r="G319" s="45" t="s">
        <v>132</v>
      </c>
      <c r="H319" s="45" t="s">
        <v>103</v>
      </c>
      <c r="I319" s="45" t="s">
        <v>46</v>
      </c>
      <c r="J319" s="45" t="s">
        <v>26</v>
      </c>
      <c r="K319" s="99"/>
    </row>
    <row r="320" spans="1:11" x14ac:dyDescent="0.2">
      <c r="A320" s="82">
        <v>339</v>
      </c>
      <c r="B320" s="83" t="s">
        <v>118</v>
      </c>
      <c r="C320" s="83" t="s">
        <v>113</v>
      </c>
      <c r="D320" s="84" t="s">
        <v>144</v>
      </c>
      <c r="E320" s="85" t="s">
        <v>129</v>
      </c>
      <c r="F320" s="86">
        <f t="shared" si="0"/>
        <v>35.46</v>
      </c>
      <c r="G320" s="87">
        <v>2400.2669999999998</v>
      </c>
      <c r="H320" s="45" t="s">
        <v>103</v>
      </c>
      <c r="I320" s="45" t="s">
        <v>94</v>
      </c>
      <c r="J320" s="45" t="s">
        <v>26</v>
      </c>
      <c r="K320" s="99"/>
    </row>
    <row r="321" spans="1:11" x14ac:dyDescent="0.2">
      <c r="A321" s="83">
        <v>340</v>
      </c>
      <c r="B321" s="83" t="s">
        <v>118</v>
      </c>
      <c r="C321" s="83" t="s">
        <v>113</v>
      </c>
      <c r="D321" s="84" t="s">
        <v>145</v>
      </c>
      <c r="E321" s="85" t="s">
        <v>129</v>
      </c>
      <c r="F321" s="86">
        <f t="shared" si="0"/>
        <v>35.46</v>
      </c>
      <c r="G321" s="87">
        <v>2400.2669999999998</v>
      </c>
      <c r="H321" s="45" t="s">
        <v>103</v>
      </c>
      <c r="I321" s="45" t="s">
        <v>46</v>
      </c>
      <c r="J321" s="45" t="s">
        <v>26</v>
      </c>
      <c r="K321" s="99"/>
    </row>
    <row r="322" spans="1:11" x14ac:dyDescent="0.2">
      <c r="A322" s="82">
        <v>341</v>
      </c>
      <c r="B322" s="83" t="s">
        <v>118</v>
      </c>
      <c r="C322" s="83" t="s">
        <v>113</v>
      </c>
      <c r="D322" s="84" t="s">
        <v>146</v>
      </c>
      <c r="E322" s="85" t="s">
        <v>129</v>
      </c>
      <c r="F322" s="86">
        <f t="shared" si="0"/>
        <v>35.46</v>
      </c>
      <c r="G322" s="87">
        <v>2400.2669999999998</v>
      </c>
      <c r="H322" s="45" t="s">
        <v>103</v>
      </c>
      <c r="I322" s="45" t="s">
        <v>94</v>
      </c>
      <c r="J322" s="45" t="s">
        <v>26</v>
      </c>
      <c r="K322" s="99"/>
    </row>
    <row r="323" spans="1:11" x14ac:dyDescent="0.2">
      <c r="A323" s="82">
        <v>342</v>
      </c>
      <c r="B323" s="83" t="s">
        <v>118</v>
      </c>
      <c r="C323" s="83" t="s">
        <v>113</v>
      </c>
      <c r="D323" s="84" t="s">
        <v>147</v>
      </c>
      <c r="E323" s="85" t="s">
        <v>129</v>
      </c>
      <c r="F323" s="86">
        <f t="shared" si="0"/>
        <v>35.46</v>
      </c>
      <c r="G323" s="45" t="s">
        <v>132</v>
      </c>
      <c r="H323" s="45" t="s">
        <v>103</v>
      </c>
      <c r="I323" s="45" t="s">
        <v>94</v>
      </c>
      <c r="J323" s="45" t="s">
        <v>26</v>
      </c>
      <c r="K323" s="99"/>
    </row>
    <row r="324" spans="1:11" x14ac:dyDescent="0.2">
      <c r="A324" s="83">
        <v>343</v>
      </c>
      <c r="B324" s="83" t="s">
        <v>118</v>
      </c>
      <c r="C324" s="83" t="s">
        <v>113</v>
      </c>
      <c r="D324" s="84" t="s">
        <v>148</v>
      </c>
      <c r="E324" s="85" t="s">
        <v>129</v>
      </c>
      <c r="F324" s="86">
        <f t="shared" si="0"/>
        <v>35.46</v>
      </c>
      <c r="G324" s="87">
        <v>2400.2669999999998</v>
      </c>
      <c r="H324" s="45" t="s">
        <v>103</v>
      </c>
      <c r="I324" s="45" t="s">
        <v>46</v>
      </c>
      <c r="J324" s="45" t="s">
        <v>26</v>
      </c>
      <c r="K324" s="99"/>
    </row>
    <row r="325" spans="1:11" x14ac:dyDescent="0.2">
      <c r="A325" s="82">
        <v>369</v>
      </c>
      <c r="B325" s="83" t="s">
        <v>118</v>
      </c>
      <c r="C325" s="83" t="s">
        <v>114</v>
      </c>
      <c r="D325" s="84" t="s">
        <v>149</v>
      </c>
      <c r="E325" s="85" t="s">
        <v>129</v>
      </c>
      <c r="F325" s="86">
        <f t="shared" si="0"/>
        <v>35.46</v>
      </c>
      <c r="G325" s="87">
        <v>2400.2669999999998</v>
      </c>
      <c r="H325" s="45" t="s">
        <v>150</v>
      </c>
      <c r="I325" s="45" t="s">
        <v>94</v>
      </c>
      <c r="J325" s="45" t="s">
        <v>26</v>
      </c>
      <c r="K325" s="88"/>
    </row>
    <row r="326" spans="1:11" ht="30" x14ac:dyDescent="0.2">
      <c r="A326" s="83">
        <v>370</v>
      </c>
      <c r="B326" s="83" t="s">
        <v>118</v>
      </c>
      <c r="C326" s="83" t="s">
        <v>114</v>
      </c>
      <c r="D326" s="84" t="s">
        <v>151</v>
      </c>
      <c r="E326" s="85" t="s">
        <v>129</v>
      </c>
      <c r="F326" s="86">
        <f t="shared" si="0"/>
        <v>35.46</v>
      </c>
      <c r="G326" s="87">
        <v>2400.2669999999998</v>
      </c>
      <c r="H326" s="45" t="s">
        <v>152</v>
      </c>
      <c r="I326" s="45" t="s">
        <v>46</v>
      </c>
      <c r="J326" s="45" t="s">
        <v>26</v>
      </c>
      <c r="K326" s="88"/>
    </row>
    <row r="327" spans="1:11" x14ac:dyDescent="0.2">
      <c r="A327" s="82">
        <v>371</v>
      </c>
      <c r="B327" s="83" t="s">
        <v>118</v>
      </c>
      <c r="C327" s="83" t="s">
        <v>114</v>
      </c>
      <c r="D327" s="84" t="s">
        <v>153</v>
      </c>
      <c r="E327" s="85" t="s">
        <v>129</v>
      </c>
      <c r="F327" s="86">
        <f t="shared" si="0"/>
        <v>35.46</v>
      </c>
      <c r="G327" s="45" t="s">
        <v>132</v>
      </c>
      <c r="H327" s="45" t="s">
        <v>103</v>
      </c>
      <c r="I327" s="45" t="s">
        <v>94</v>
      </c>
      <c r="J327" s="45" t="s">
        <v>26</v>
      </c>
      <c r="K327" s="88"/>
    </row>
    <row r="328" spans="1:11" x14ac:dyDescent="0.2">
      <c r="A328" s="82">
        <v>372</v>
      </c>
      <c r="B328" s="83" t="s">
        <v>118</v>
      </c>
      <c r="C328" s="83" t="s">
        <v>114</v>
      </c>
      <c r="D328" s="84" t="s">
        <v>154</v>
      </c>
      <c r="E328" s="85" t="s">
        <v>129</v>
      </c>
      <c r="F328" s="86">
        <f t="shared" si="0"/>
        <v>35.46</v>
      </c>
      <c r="G328" s="87">
        <v>2400.2669999999998</v>
      </c>
      <c r="H328" s="45" t="s">
        <v>103</v>
      </c>
      <c r="I328" s="45" t="s">
        <v>46</v>
      </c>
      <c r="J328" s="45" t="s">
        <v>26</v>
      </c>
      <c r="K328" s="88"/>
    </row>
    <row r="329" spans="1:11" x14ac:dyDescent="0.2">
      <c r="A329" s="83">
        <v>373</v>
      </c>
      <c r="B329" s="83" t="s">
        <v>118</v>
      </c>
      <c r="C329" s="83" t="s">
        <v>114</v>
      </c>
      <c r="D329" s="84" t="s">
        <v>155</v>
      </c>
      <c r="E329" s="85" t="s">
        <v>129</v>
      </c>
      <c r="F329" s="86">
        <f t="shared" si="0"/>
        <v>35.46</v>
      </c>
      <c r="G329" s="45" t="s">
        <v>132</v>
      </c>
      <c r="H329" s="45" t="s">
        <v>103</v>
      </c>
      <c r="I329" s="45" t="s">
        <v>94</v>
      </c>
      <c r="J329" s="45" t="s">
        <v>26</v>
      </c>
      <c r="K329" s="88"/>
    </row>
    <row r="330" spans="1:11" ht="30" x14ac:dyDescent="0.2">
      <c r="A330" s="82">
        <v>374</v>
      </c>
      <c r="B330" s="83" t="s">
        <v>118</v>
      </c>
      <c r="C330" s="83" t="s">
        <v>114</v>
      </c>
      <c r="D330" s="84" t="s">
        <v>156</v>
      </c>
      <c r="E330" s="85" t="s">
        <v>129</v>
      </c>
      <c r="F330" s="86">
        <f t="shared" si="0"/>
        <v>35.46</v>
      </c>
      <c r="G330" s="87">
        <v>2400.2669999999998</v>
      </c>
      <c r="H330" s="45" t="s">
        <v>157</v>
      </c>
      <c r="I330" s="45" t="s">
        <v>94</v>
      </c>
      <c r="J330" s="45" t="s">
        <v>26</v>
      </c>
      <c r="K330" s="88"/>
    </row>
    <row r="331" spans="1:11" x14ac:dyDescent="0.2">
      <c r="A331" s="82">
        <v>407</v>
      </c>
      <c r="B331" s="83" t="s">
        <v>119</v>
      </c>
      <c r="C331" s="83" t="s">
        <v>112</v>
      </c>
      <c r="D331" s="84" t="s">
        <v>158</v>
      </c>
      <c r="E331" s="85" t="s">
        <v>129</v>
      </c>
      <c r="F331" s="86">
        <f t="shared" si="0"/>
        <v>35.46</v>
      </c>
      <c r="G331" s="87">
        <v>2400.2669999999998</v>
      </c>
      <c r="H331" s="45" t="s">
        <v>103</v>
      </c>
      <c r="I331" s="45" t="s">
        <v>94</v>
      </c>
      <c r="J331" s="45" t="s">
        <v>26</v>
      </c>
      <c r="K331" s="88"/>
    </row>
    <row r="332" spans="1:11" x14ac:dyDescent="0.2">
      <c r="A332" s="82">
        <v>408</v>
      </c>
      <c r="B332" s="83" t="s">
        <v>119</v>
      </c>
      <c r="C332" s="83" t="s">
        <v>112</v>
      </c>
      <c r="D332" s="84" t="s">
        <v>159</v>
      </c>
      <c r="E332" s="85" t="s">
        <v>129</v>
      </c>
      <c r="F332" s="86">
        <f t="shared" si="0"/>
        <v>35.46</v>
      </c>
      <c r="G332" s="87">
        <v>2400.2669999999998</v>
      </c>
      <c r="H332" s="45" t="s">
        <v>103</v>
      </c>
      <c r="I332" s="45" t="s">
        <v>46</v>
      </c>
      <c r="J332" s="45" t="s">
        <v>26</v>
      </c>
      <c r="K332" s="88"/>
    </row>
    <row r="333" spans="1:11" x14ac:dyDescent="0.2">
      <c r="A333" s="83">
        <v>409</v>
      </c>
      <c r="B333" s="83" t="s">
        <v>119</v>
      </c>
      <c r="C333" s="83" t="s">
        <v>112</v>
      </c>
      <c r="D333" s="84" t="s">
        <v>160</v>
      </c>
      <c r="E333" s="85" t="s">
        <v>129</v>
      </c>
      <c r="F333" s="86">
        <f t="shared" si="0"/>
        <v>35.46</v>
      </c>
      <c r="G333" s="87">
        <v>2400.2669999999998</v>
      </c>
      <c r="H333" s="45" t="s">
        <v>103</v>
      </c>
      <c r="I333" s="45" t="s">
        <v>46</v>
      </c>
      <c r="J333" s="45" t="s">
        <v>26</v>
      </c>
      <c r="K333" s="88"/>
    </row>
    <row r="334" spans="1:11" x14ac:dyDescent="0.2">
      <c r="A334" s="82">
        <v>410</v>
      </c>
      <c r="B334" s="83" t="s">
        <v>119</v>
      </c>
      <c r="C334" s="83" t="s">
        <v>112</v>
      </c>
      <c r="D334" s="84" t="s">
        <v>161</v>
      </c>
      <c r="E334" s="85" t="s">
        <v>129</v>
      </c>
      <c r="F334" s="86">
        <f t="shared" si="0"/>
        <v>35.46</v>
      </c>
      <c r="G334" s="87">
        <v>2400.2669999999998</v>
      </c>
      <c r="H334" s="45" t="s">
        <v>103</v>
      </c>
      <c r="I334" s="45" t="s">
        <v>94</v>
      </c>
      <c r="J334" s="45" t="s">
        <v>26</v>
      </c>
      <c r="K334" s="88"/>
    </row>
    <row r="335" spans="1:11" x14ac:dyDescent="0.2">
      <c r="A335" s="82">
        <v>411</v>
      </c>
      <c r="B335" s="83" t="s">
        <v>119</v>
      </c>
      <c r="C335" s="83" t="s">
        <v>112</v>
      </c>
      <c r="D335" s="84" t="s">
        <v>162</v>
      </c>
      <c r="E335" s="85" t="s">
        <v>129</v>
      </c>
      <c r="F335" s="86">
        <f t="shared" si="0"/>
        <v>35.46</v>
      </c>
      <c r="G335" s="87">
        <v>2400.2669999999998</v>
      </c>
      <c r="H335" s="45" t="s">
        <v>103</v>
      </c>
      <c r="I335" s="45" t="s">
        <v>46</v>
      </c>
      <c r="J335" s="45" t="s">
        <v>26</v>
      </c>
      <c r="K335" s="88"/>
    </row>
    <row r="336" spans="1:11" x14ac:dyDescent="0.2">
      <c r="A336" s="83">
        <v>412</v>
      </c>
      <c r="B336" s="83" t="s">
        <v>119</v>
      </c>
      <c r="C336" s="83" t="s">
        <v>112</v>
      </c>
      <c r="D336" s="84" t="s">
        <v>163</v>
      </c>
      <c r="E336" s="85" t="s">
        <v>129</v>
      </c>
      <c r="F336" s="86">
        <f t="shared" si="0"/>
        <v>35.46</v>
      </c>
      <c r="G336" s="87">
        <v>2400.2669999999998</v>
      </c>
      <c r="H336" s="45" t="s">
        <v>103</v>
      </c>
      <c r="I336" s="45" t="s">
        <v>94</v>
      </c>
      <c r="J336" s="45" t="s">
        <v>26</v>
      </c>
      <c r="K336" s="88"/>
    </row>
    <row r="337" spans="1:11" x14ac:dyDescent="0.2">
      <c r="A337" s="82">
        <v>413</v>
      </c>
      <c r="B337" s="83" t="s">
        <v>119</v>
      </c>
      <c r="C337" s="83" t="s">
        <v>112</v>
      </c>
      <c r="D337" s="84" t="s">
        <v>164</v>
      </c>
      <c r="E337" s="85" t="s">
        <v>129</v>
      </c>
      <c r="F337" s="86">
        <f t="shared" si="0"/>
        <v>35.46</v>
      </c>
      <c r="G337" s="87">
        <v>2400.2669999999998</v>
      </c>
      <c r="H337" s="45" t="s">
        <v>103</v>
      </c>
      <c r="I337" s="45" t="s">
        <v>94</v>
      </c>
      <c r="J337" s="45" t="s">
        <v>26</v>
      </c>
      <c r="K337" s="88"/>
    </row>
    <row r="338" spans="1:11" x14ac:dyDescent="0.2">
      <c r="A338" s="82">
        <v>414</v>
      </c>
      <c r="B338" s="83" t="s">
        <v>119</v>
      </c>
      <c r="C338" s="83" t="s">
        <v>112</v>
      </c>
      <c r="D338" s="84" t="s">
        <v>165</v>
      </c>
      <c r="E338" s="85" t="s">
        <v>129</v>
      </c>
      <c r="F338" s="86">
        <f t="shared" si="0"/>
        <v>35.46</v>
      </c>
      <c r="G338" s="87">
        <v>2400.2669999999998</v>
      </c>
      <c r="H338" s="45" t="s">
        <v>103</v>
      </c>
      <c r="I338" s="45" t="s">
        <v>94</v>
      </c>
      <c r="J338" s="45" t="s">
        <v>26</v>
      </c>
      <c r="K338" s="88"/>
    </row>
    <row r="339" spans="1:11" x14ac:dyDescent="0.2">
      <c r="A339" s="82">
        <v>446</v>
      </c>
      <c r="B339" s="83" t="s">
        <v>119</v>
      </c>
      <c r="C339" s="83" t="s">
        <v>113</v>
      </c>
      <c r="D339" s="84" t="s">
        <v>166</v>
      </c>
      <c r="E339" s="85" t="s">
        <v>129</v>
      </c>
      <c r="F339" s="86">
        <f t="shared" ref="F339:F370" si="1">41.7-6.24</f>
        <v>35.46</v>
      </c>
      <c r="G339" s="87">
        <v>2400.2669999999998</v>
      </c>
      <c r="H339" s="45" t="s">
        <v>103</v>
      </c>
      <c r="I339" s="45" t="s">
        <v>46</v>
      </c>
      <c r="J339" s="45" t="s">
        <v>26</v>
      </c>
      <c r="K339" s="88"/>
    </row>
    <row r="340" spans="1:11" x14ac:dyDescent="0.2">
      <c r="A340" s="82">
        <v>447</v>
      </c>
      <c r="B340" s="83" t="s">
        <v>119</v>
      </c>
      <c r="C340" s="83" t="s">
        <v>113</v>
      </c>
      <c r="D340" s="84" t="s">
        <v>167</v>
      </c>
      <c r="E340" s="85" t="s">
        <v>129</v>
      </c>
      <c r="F340" s="86">
        <f t="shared" si="1"/>
        <v>35.46</v>
      </c>
      <c r="G340" s="45" t="s">
        <v>132</v>
      </c>
      <c r="H340" s="45" t="s">
        <v>103</v>
      </c>
      <c r="I340" s="45" t="s">
        <v>94</v>
      </c>
      <c r="J340" s="45" t="s">
        <v>26</v>
      </c>
      <c r="K340" s="88"/>
    </row>
    <row r="341" spans="1:11" x14ac:dyDescent="0.2">
      <c r="A341" s="83">
        <v>448</v>
      </c>
      <c r="B341" s="83" t="s">
        <v>119</v>
      </c>
      <c r="C341" s="83" t="s">
        <v>113</v>
      </c>
      <c r="D341" s="84" t="s">
        <v>168</v>
      </c>
      <c r="E341" s="85" t="s">
        <v>129</v>
      </c>
      <c r="F341" s="86">
        <f t="shared" si="1"/>
        <v>35.46</v>
      </c>
      <c r="G341" s="87">
        <v>2400.2669999999998</v>
      </c>
      <c r="H341" s="45" t="s">
        <v>103</v>
      </c>
      <c r="I341" s="45" t="s">
        <v>46</v>
      </c>
      <c r="J341" s="45" t="s">
        <v>26</v>
      </c>
      <c r="K341" s="88"/>
    </row>
    <row r="342" spans="1:11" x14ac:dyDescent="0.2">
      <c r="A342" s="82">
        <v>449</v>
      </c>
      <c r="B342" s="83" t="s">
        <v>119</v>
      </c>
      <c r="C342" s="83" t="s">
        <v>113</v>
      </c>
      <c r="D342" s="84" t="s">
        <v>169</v>
      </c>
      <c r="E342" s="85" t="s">
        <v>129</v>
      </c>
      <c r="F342" s="86">
        <f t="shared" si="1"/>
        <v>35.46</v>
      </c>
      <c r="G342" s="87">
        <v>2400.2669999999998</v>
      </c>
      <c r="H342" s="45" t="s">
        <v>103</v>
      </c>
      <c r="I342" s="45" t="s">
        <v>46</v>
      </c>
      <c r="J342" s="45" t="s">
        <v>26</v>
      </c>
      <c r="K342" s="88"/>
    </row>
    <row r="343" spans="1:11" x14ac:dyDescent="0.2">
      <c r="A343" s="82">
        <v>450</v>
      </c>
      <c r="B343" s="83" t="s">
        <v>119</v>
      </c>
      <c r="C343" s="83" t="s">
        <v>113</v>
      </c>
      <c r="D343" s="84" t="s">
        <v>170</v>
      </c>
      <c r="E343" s="85" t="s">
        <v>129</v>
      </c>
      <c r="F343" s="86">
        <f t="shared" si="1"/>
        <v>35.46</v>
      </c>
      <c r="G343" s="87">
        <v>2400.2669999999998</v>
      </c>
      <c r="H343" s="45" t="s">
        <v>103</v>
      </c>
      <c r="I343" s="45" t="s">
        <v>46</v>
      </c>
      <c r="J343" s="45" t="s">
        <v>26</v>
      </c>
      <c r="K343" s="88"/>
    </row>
    <row r="344" spans="1:11" x14ac:dyDescent="0.2">
      <c r="A344" s="83">
        <v>451</v>
      </c>
      <c r="B344" s="83" t="s">
        <v>119</v>
      </c>
      <c r="C344" s="83" t="s">
        <v>113</v>
      </c>
      <c r="D344" s="89" t="s">
        <v>171</v>
      </c>
      <c r="E344" s="90" t="s">
        <v>129</v>
      </c>
      <c r="F344" s="86">
        <f t="shared" si="1"/>
        <v>35.46</v>
      </c>
      <c r="G344" s="92" t="s">
        <v>132</v>
      </c>
      <c r="H344" s="92" t="s">
        <v>103</v>
      </c>
      <c r="I344" s="92" t="s">
        <v>94</v>
      </c>
      <c r="J344" s="45" t="s">
        <v>26</v>
      </c>
      <c r="K344" s="100"/>
    </row>
    <row r="345" spans="1:11" x14ac:dyDescent="0.2">
      <c r="A345" s="82">
        <v>452</v>
      </c>
      <c r="B345" s="83" t="s">
        <v>119</v>
      </c>
      <c r="C345" s="83" t="s">
        <v>113</v>
      </c>
      <c r="D345" s="84" t="s">
        <v>172</v>
      </c>
      <c r="E345" s="85" t="s">
        <v>129</v>
      </c>
      <c r="F345" s="86">
        <f t="shared" si="1"/>
        <v>35.46</v>
      </c>
      <c r="G345" s="87">
        <v>2400.2669999999998</v>
      </c>
      <c r="H345" s="45" t="s">
        <v>103</v>
      </c>
      <c r="I345" s="45" t="s">
        <v>94</v>
      </c>
      <c r="J345" s="45" t="s">
        <v>26</v>
      </c>
      <c r="K345" s="88"/>
    </row>
    <row r="346" spans="1:11" x14ac:dyDescent="0.2">
      <c r="A346" s="82">
        <v>453</v>
      </c>
      <c r="B346" s="83" t="s">
        <v>119</v>
      </c>
      <c r="C346" s="83" t="s">
        <v>113</v>
      </c>
      <c r="D346" s="84" t="s">
        <v>173</v>
      </c>
      <c r="E346" s="85" t="s">
        <v>129</v>
      </c>
      <c r="F346" s="86">
        <f t="shared" si="1"/>
        <v>35.46</v>
      </c>
      <c r="G346" s="87">
        <v>2400.2669999999998</v>
      </c>
      <c r="H346" s="45" t="s">
        <v>103</v>
      </c>
      <c r="I346" s="45" t="s">
        <v>46</v>
      </c>
      <c r="J346" s="45" t="s">
        <v>26</v>
      </c>
      <c r="K346" s="88"/>
    </row>
    <row r="347" spans="1:11" x14ac:dyDescent="0.2">
      <c r="A347" s="82">
        <v>486</v>
      </c>
      <c r="B347" s="83" t="s">
        <v>119</v>
      </c>
      <c r="C347" s="83" t="s">
        <v>114</v>
      </c>
      <c r="D347" s="84" t="s">
        <v>174</v>
      </c>
      <c r="E347" s="85" t="s">
        <v>129</v>
      </c>
      <c r="F347" s="86">
        <f t="shared" si="1"/>
        <v>35.46</v>
      </c>
      <c r="G347" s="87">
        <v>2400.2669999999998</v>
      </c>
      <c r="H347" s="45" t="s">
        <v>150</v>
      </c>
      <c r="I347" s="45" t="s">
        <v>94</v>
      </c>
      <c r="J347" s="45" t="s">
        <v>26</v>
      </c>
      <c r="K347" s="88"/>
    </row>
    <row r="348" spans="1:11" x14ac:dyDescent="0.2">
      <c r="A348" s="83">
        <v>487</v>
      </c>
      <c r="B348" s="83" t="s">
        <v>119</v>
      </c>
      <c r="C348" s="83" t="s">
        <v>114</v>
      </c>
      <c r="D348" s="84" t="s">
        <v>175</v>
      </c>
      <c r="E348" s="85" t="s">
        <v>176</v>
      </c>
      <c r="F348" s="86">
        <f t="shared" si="1"/>
        <v>35.46</v>
      </c>
      <c r="G348" s="45" t="s">
        <v>132</v>
      </c>
      <c r="H348" s="45" t="s">
        <v>150</v>
      </c>
      <c r="I348" s="45" t="s">
        <v>46</v>
      </c>
      <c r="J348" s="45" t="s">
        <v>26</v>
      </c>
      <c r="K348" s="88"/>
    </row>
    <row r="349" spans="1:11" x14ac:dyDescent="0.2">
      <c r="A349" s="82">
        <v>488</v>
      </c>
      <c r="B349" s="83" t="s">
        <v>119</v>
      </c>
      <c r="C349" s="83" t="s">
        <v>114</v>
      </c>
      <c r="D349" s="84" t="s">
        <v>177</v>
      </c>
      <c r="E349" s="85" t="s">
        <v>129</v>
      </c>
      <c r="F349" s="86">
        <f t="shared" si="1"/>
        <v>35.46</v>
      </c>
      <c r="G349" s="45" t="s">
        <v>132</v>
      </c>
      <c r="H349" s="45" t="s">
        <v>150</v>
      </c>
      <c r="I349" s="45" t="s">
        <v>94</v>
      </c>
      <c r="J349" s="45" t="s">
        <v>26</v>
      </c>
      <c r="K349" s="88"/>
    </row>
    <row r="350" spans="1:11" x14ac:dyDescent="0.2">
      <c r="A350" s="82">
        <v>489</v>
      </c>
      <c r="B350" s="83" t="s">
        <v>119</v>
      </c>
      <c r="C350" s="83" t="s">
        <v>114</v>
      </c>
      <c r="D350" s="84" t="s">
        <v>178</v>
      </c>
      <c r="E350" s="85" t="s">
        <v>129</v>
      </c>
      <c r="F350" s="86">
        <f t="shared" si="1"/>
        <v>35.46</v>
      </c>
      <c r="G350" s="45" t="s">
        <v>132</v>
      </c>
      <c r="H350" s="45" t="s">
        <v>103</v>
      </c>
      <c r="I350" s="45" t="s">
        <v>46</v>
      </c>
      <c r="J350" s="45" t="s">
        <v>26</v>
      </c>
      <c r="K350" s="88"/>
    </row>
    <row r="351" spans="1:11" x14ac:dyDescent="0.2">
      <c r="A351" s="83">
        <v>490</v>
      </c>
      <c r="B351" s="83" t="s">
        <v>119</v>
      </c>
      <c r="C351" s="83" t="s">
        <v>114</v>
      </c>
      <c r="D351" s="84" t="s">
        <v>179</v>
      </c>
      <c r="E351" s="85" t="s">
        <v>176</v>
      </c>
      <c r="F351" s="86">
        <f t="shared" si="1"/>
        <v>35.46</v>
      </c>
      <c r="G351" s="87">
        <v>2400.2669999999998</v>
      </c>
      <c r="H351" s="45" t="s">
        <v>103</v>
      </c>
      <c r="I351" s="45" t="s">
        <v>46</v>
      </c>
      <c r="J351" s="45" t="s">
        <v>26</v>
      </c>
      <c r="K351" s="88"/>
    </row>
    <row r="352" spans="1:11" x14ac:dyDescent="0.2">
      <c r="A352" s="82">
        <v>491</v>
      </c>
      <c r="B352" s="83" t="s">
        <v>119</v>
      </c>
      <c r="C352" s="83" t="s">
        <v>114</v>
      </c>
      <c r="D352" s="84" t="s">
        <v>180</v>
      </c>
      <c r="E352" s="85" t="s">
        <v>129</v>
      </c>
      <c r="F352" s="86">
        <f t="shared" si="1"/>
        <v>35.46</v>
      </c>
      <c r="G352" s="45" t="s">
        <v>132</v>
      </c>
      <c r="H352" s="45" t="s">
        <v>103</v>
      </c>
      <c r="I352" s="45" t="s">
        <v>94</v>
      </c>
      <c r="J352" s="45" t="s">
        <v>26</v>
      </c>
      <c r="K352" s="88"/>
    </row>
    <row r="353" spans="1:11" x14ac:dyDescent="0.2">
      <c r="A353" s="82">
        <v>492</v>
      </c>
      <c r="B353" s="83" t="s">
        <v>119</v>
      </c>
      <c r="C353" s="83" t="s">
        <v>114</v>
      </c>
      <c r="D353" s="84" t="s">
        <v>181</v>
      </c>
      <c r="E353" s="85" t="s">
        <v>176</v>
      </c>
      <c r="F353" s="86">
        <f t="shared" si="1"/>
        <v>35.46</v>
      </c>
      <c r="G353" s="87">
        <v>2400.2669999999998</v>
      </c>
      <c r="H353" s="45" t="s">
        <v>103</v>
      </c>
      <c r="I353" s="45" t="s">
        <v>94</v>
      </c>
      <c r="J353" s="45" t="s">
        <v>26</v>
      </c>
      <c r="K353" s="88"/>
    </row>
    <row r="354" spans="1:11" x14ac:dyDescent="0.2">
      <c r="A354" s="83">
        <v>493</v>
      </c>
      <c r="B354" s="83" t="s">
        <v>119</v>
      </c>
      <c r="C354" s="83" t="s">
        <v>114</v>
      </c>
      <c r="D354" s="84" t="s">
        <v>182</v>
      </c>
      <c r="E354" s="85" t="s">
        <v>129</v>
      </c>
      <c r="F354" s="86">
        <f t="shared" si="1"/>
        <v>35.46</v>
      </c>
      <c r="G354" s="45" t="s">
        <v>132</v>
      </c>
      <c r="H354" s="45" t="s">
        <v>103</v>
      </c>
      <c r="I354" s="45" t="s">
        <v>94</v>
      </c>
      <c r="J354" s="45" t="s">
        <v>26</v>
      </c>
      <c r="K354" s="88"/>
    </row>
    <row r="355" spans="1:11" x14ac:dyDescent="0.2">
      <c r="A355" s="82">
        <v>524</v>
      </c>
      <c r="B355" s="83" t="s">
        <v>120</v>
      </c>
      <c r="C355" s="83" t="s">
        <v>112</v>
      </c>
      <c r="D355" s="84" t="s">
        <v>183</v>
      </c>
      <c r="E355" s="85" t="s">
        <v>129</v>
      </c>
      <c r="F355" s="86">
        <f t="shared" si="1"/>
        <v>35.46</v>
      </c>
      <c r="G355" s="45" t="s">
        <v>132</v>
      </c>
      <c r="H355" s="45" t="s">
        <v>103</v>
      </c>
      <c r="I355" s="45" t="s">
        <v>46</v>
      </c>
      <c r="J355" s="45" t="s">
        <v>26</v>
      </c>
      <c r="K355" s="99"/>
    </row>
    <row r="356" spans="1:11" x14ac:dyDescent="0.2">
      <c r="A356" s="82">
        <v>525</v>
      </c>
      <c r="B356" s="83" t="s">
        <v>120</v>
      </c>
      <c r="C356" s="83" t="s">
        <v>112</v>
      </c>
      <c r="D356" s="84" t="s">
        <v>184</v>
      </c>
      <c r="E356" s="85" t="s">
        <v>129</v>
      </c>
      <c r="F356" s="86">
        <f t="shared" si="1"/>
        <v>35.46</v>
      </c>
      <c r="G356" s="45" t="s">
        <v>132</v>
      </c>
      <c r="H356" s="45" t="s">
        <v>103</v>
      </c>
      <c r="I356" s="45" t="s">
        <v>94</v>
      </c>
      <c r="J356" s="45" t="s">
        <v>26</v>
      </c>
      <c r="K356" s="99"/>
    </row>
    <row r="357" spans="1:11" x14ac:dyDescent="0.2">
      <c r="A357" s="83">
        <v>526</v>
      </c>
      <c r="B357" s="83" t="s">
        <v>120</v>
      </c>
      <c r="C357" s="83" t="s">
        <v>112</v>
      </c>
      <c r="D357" s="84" t="s">
        <v>185</v>
      </c>
      <c r="E357" s="85" t="s">
        <v>129</v>
      </c>
      <c r="F357" s="86">
        <f t="shared" si="1"/>
        <v>35.46</v>
      </c>
      <c r="G357" s="45" t="s">
        <v>132</v>
      </c>
      <c r="H357" s="45" t="s">
        <v>103</v>
      </c>
      <c r="I357" s="45" t="s">
        <v>46</v>
      </c>
      <c r="J357" s="45" t="s">
        <v>26</v>
      </c>
      <c r="K357" s="99"/>
    </row>
    <row r="358" spans="1:11" x14ac:dyDescent="0.2">
      <c r="A358" s="82">
        <v>527</v>
      </c>
      <c r="B358" s="83" t="s">
        <v>120</v>
      </c>
      <c r="C358" s="83" t="s">
        <v>112</v>
      </c>
      <c r="D358" s="84" t="s">
        <v>186</v>
      </c>
      <c r="E358" s="85" t="s">
        <v>129</v>
      </c>
      <c r="F358" s="86">
        <f t="shared" si="1"/>
        <v>35.46</v>
      </c>
      <c r="G358" s="45" t="s">
        <v>132</v>
      </c>
      <c r="H358" s="45" t="s">
        <v>103</v>
      </c>
      <c r="I358" s="45" t="s">
        <v>46</v>
      </c>
      <c r="J358" s="45" t="s">
        <v>26</v>
      </c>
      <c r="K358" s="99"/>
    </row>
    <row r="359" spans="1:11" x14ac:dyDescent="0.2">
      <c r="A359" s="82">
        <v>528</v>
      </c>
      <c r="B359" s="83" t="s">
        <v>120</v>
      </c>
      <c r="C359" s="83" t="s">
        <v>112</v>
      </c>
      <c r="D359" s="84" t="s">
        <v>187</v>
      </c>
      <c r="E359" s="85" t="s">
        <v>129</v>
      </c>
      <c r="F359" s="86">
        <f t="shared" si="1"/>
        <v>35.46</v>
      </c>
      <c r="G359" s="45" t="s">
        <v>132</v>
      </c>
      <c r="H359" s="45" t="s">
        <v>103</v>
      </c>
      <c r="I359" s="45" t="s">
        <v>94</v>
      </c>
      <c r="J359" s="45" t="s">
        <v>26</v>
      </c>
      <c r="K359" s="99"/>
    </row>
    <row r="360" spans="1:11" x14ac:dyDescent="0.2">
      <c r="A360" s="83">
        <v>529</v>
      </c>
      <c r="B360" s="83" t="s">
        <v>120</v>
      </c>
      <c r="C360" s="83" t="s">
        <v>112</v>
      </c>
      <c r="D360" s="84" t="s">
        <v>188</v>
      </c>
      <c r="E360" s="85" t="s">
        <v>129</v>
      </c>
      <c r="F360" s="86">
        <f t="shared" si="1"/>
        <v>35.46</v>
      </c>
      <c r="G360" s="45" t="s">
        <v>132</v>
      </c>
      <c r="H360" s="45" t="s">
        <v>103</v>
      </c>
      <c r="I360" s="45" t="s">
        <v>46</v>
      </c>
      <c r="J360" s="45" t="s">
        <v>26</v>
      </c>
      <c r="K360" s="99"/>
    </row>
    <row r="361" spans="1:11" x14ac:dyDescent="0.2">
      <c r="A361" s="82">
        <v>530</v>
      </c>
      <c r="B361" s="83" t="s">
        <v>120</v>
      </c>
      <c r="C361" s="83" t="s">
        <v>112</v>
      </c>
      <c r="D361" s="84" t="s">
        <v>189</v>
      </c>
      <c r="E361" s="85" t="s">
        <v>129</v>
      </c>
      <c r="F361" s="86">
        <f t="shared" si="1"/>
        <v>35.46</v>
      </c>
      <c r="G361" s="45" t="s">
        <v>132</v>
      </c>
      <c r="H361" s="45" t="s">
        <v>103</v>
      </c>
      <c r="I361" s="45" t="s">
        <v>94</v>
      </c>
      <c r="J361" s="45" t="s">
        <v>26</v>
      </c>
      <c r="K361" s="99"/>
    </row>
    <row r="362" spans="1:11" x14ac:dyDescent="0.2">
      <c r="A362" s="82">
        <v>531</v>
      </c>
      <c r="B362" s="83" t="s">
        <v>120</v>
      </c>
      <c r="C362" s="83" t="s">
        <v>112</v>
      </c>
      <c r="D362" s="84" t="s">
        <v>190</v>
      </c>
      <c r="E362" s="85" t="s">
        <v>129</v>
      </c>
      <c r="F362" s="86">
        <f t="shared" si="1"/>
        <v>35.46</v>
      </c>
      <c r="G362" s="45" t="s">
        <v>132</v>
      </c>
      <c r="H362" s="45" t="s">
        <v>103</v>
      </c>
      <c r="I362" s="45" t="s">
        <v>94</v>
      </c>
      <c r="J362" s="45" t="s">
        <v>26</v>
      </c>
      <c r="K362" s="99"/>
    </row>
    <row r="363" spans="1:11" x14ac:dyDescent="0.2">
      <c r="A363" s="83">
        <v>532</v>
      </c>
      <c r="B363" s="83" t="s">
        <v>120</v>
      </c>
      <c r="C363" s="83" t="s">
        <v>112</v>
      </c>
      <c r="D363" s="84" t="s">
        <v>191</v>
      </c>
      <c r="E363" s="85" t="s">
        <v>129</v>
      </c>
      <c r="F363" s="86">
        <f t="shared" si="1"/>
        <v>35.46</v>
      </c>
      <c r="G363" s="45" t="s">
        <v>132</v>
      </c>
      <c r="H363" s="45" t="s">
        <v>103</v>
      </c>
      <c r="I363" s="45" t="s">
        <v>94</v>
      </c>
      <c r="J363" s="45" t="s">
        <v>26</v>
      </c>
      <c r="K363" s="99"/>
    </row>
    <row r="364" spans="1:11" x14ac:dyDescent="0.2">
      <c r="A364" s="82">
        <v>563</v>
      </c>
      <c r="B364" s="83" t="s">
        <v>120</v>
      </c>
      <c r="C364" s="83" t="s">
        <v>113</v>
      </c>
      <c r="D364" s="84" t="s">
        <v>192</v>
      </c>
      <c r="E364" s="85" t="s">
        <v>176</v>
      </c>
      <c r="F364" s="86">
        <f t="shared" si="1"/>
        <v>35.46</v>
      </c>
      <c r="G364" s="87">
        <v>2400.2669999999998</v>
      </c>
      <c r="H364" s="45" t="s">
        <v>103</v>
      </c>
      <c r="I364" s="45" t="s">
        <v>46</v>
      </c>
      <c r="J364" s="45" t="s">
        <v>26</v>
      </c>
      <c r="K364" s="88"/>
    </row>
    <row r="365" spans="1:11" x14ac:dyDescent="0.2">
      <c r="A365" s="82">
        <v>564</v>
      </c>
      <c r="B365" s="83" t="s">
        <v>120</v>
      </c>
      <c r="C365" s="83" t="s">
        <v>113</v>
      </c>
      <c r="D365" s="84" t="s">
        <v>193</v>
      </c>
      <c r="E365" s="85" t="s">
        <v>176</v>
      </c>
      <c r="F365" s="86">
        <f t="shared" si="1"/>
        <v>35.46</v>
      </c>
      <c r="G365" s="87">
        <v>2400.2669999999998</v>
      </c>
      <c r="H365" s="45" t="s">
        <v>103</v>
      </c>
      <c r="I365" s="45" t="s">
        <v>94</v>
      </c>
      <c r="J365" s="45" t="s">
        <v>26</v>
      </c>
      <c r="K365" s="88"/>
    </row>
    <row r="366" spans="1:11" x14ac:dyDescent="0.2">
      <c r="A366" s="83">
        <v>565</v>
      </c>
      <c r="B366" s="83" t="s">
        <v>120</v>
      </c>
      <c r="C366" s="83" t="s">
        <v>113</v>
      </c>
      <c r="D366" s="84" t="s">
        <v>194</v>
      </c>
      <c r="E366" s="85" t="s">
        <v>176</v>
      </c>
      <c r="F366" s="86">
        <f t="shared" si="1"/>
        <v>35.46</v>
      </c>
      <c r="G366" s="87">
        <v>2400.2669999999998</v>
      </c>
      <c r="H366" s="45" t="s">
        <v>103</v>
      </c>
      <c r="I366" s="45" t="s">
        <v>46</v>
      </c>
      <c r="J366" s="45" t="s">
        <v>26</v>
      </c>
      <c r="K366" s="88"/>
    </row>
    <row r="367" spans="1:11" x14ac:dyDescent="0.2">
      <c r="A367" s="82">
        <v>566</v>
      </c>
      <c r="B367" s="83" t="s">
        <v>120</v>
      </c>
      <c r="C367" s="83" t="s">
        <v>113</v>
      </c>
      <c r="D367" s="84" t="s">
        <v>195</v>
      </c>
      <c r="E367" s="85" t="s">
        <v>176</v>
      </c>
      <c r="F367" s="86">
        <f t="shared" si="1"/>
        <v>35.46</v>
      </c>
      <c r="G367" s="87">
        <v>2400.2669999999998</v>
      </c>
      <c r="H367" s="45" t="s">
        <v>103</v>
      </c>
      <c r="I367" s="45" t="s">
        <v>46</v>
      </c>
      <c r="J367" s="45" t="s">
        <v>26</v>
      </c>
      <c r="K367" s="88"/>
    </row>
    <row r="368" spans="1:11" x14ac:dyDescent="0.2">
      <c r="A368" s="82">
        <v>567</v>
      </c>
      <c r="B368" s="83" t="s">
        <v>120</v>
      </c>
      <c r="C368" s="83" t="s">
        <v>113</v>
      </c>
      <c r="D368" s="84" t="s">
        <v>196</v>
      </c>
      <c r="E368" s="85" t="s">
        <v>176</v>
      </c>
      <c r="F368" s="86">
        <f t="shared" si="1"/>
        <v>35.46</v>
      </c>
      <c r="G368" s="87">
        <v>2400.2669999999998</v>
      </c>
      <c r="H368" s="45" t="s">
        <v>103</v>
      </c>
      <c r="I368" s="45" t="s">
        <v>94</v>
      </c>
      <c r="J368" s="45" t="s">
        <v>26</v>
      </c>
      <c r="K368" s="88"/>
    </row>
    <row r="369" spans="1:11" x14ac:dyDescent="0.2">
      <c r="A369" s="83">
        <v>568</v>
      </c>
      <c r="B369" s="83" t="s">
        <v>120</v>
      </c>
      <c r="C369" s="83" t="s">
        <v>113</v>
      </c>
      <c r="D369" s="84" t="s">
        <v>197</v>
      </c>
      <c r="E369" s="85" t="s">
        <v>176</v>
      </c>
      <c r="F369" s="86">
        <f t="shared" si="1"/>
        <v>35.46</v>
      </c>
      <c r="G369" s="87">
        <v>2400.2669999999998</v>
      </c>
      <c r="H369" s="45" t="s">
        <v>103</v>
      </c>
      <c r="I369" s="45" t="s">
        <v>46</v>
      </c>
      <c r="J369" s="45" t="s">
        <v>26</v>
      </c>
      <c r="K369" s="88"/>
    </row>
    <row r="370" spans="1:11" x14ac:dyDescent="0.2">
      <c r="A370" s="82">
        <v>569</v>
      </c>
      <c r="B370" s="83" t="s">
        <v>120</v>
      </c>
      <c r="C370" s="83" t="s">
        <v>113</v>
      </c>
      <c r="D370" s="84" t="s">
        <v>198</v>
      </c>
      <c r="E370" s="85" t="s">
        <v>176</v>
      </c>
      <c r="F370" s="86">
        <f t="shared" si="1"/>
        <v>35.46</v>
      </c>
      <c r="G370" s="87">
        <v>2400.2669999999998</v>
      </c>
      <c r="H370" s="45" t="s">
        <v>103</v>
      </c>
      <c r="I370" s="45" t="s">
        <v>94</v>
      </c>
      <c r="J370" s="45" t="s">
        <v>26</v>
      </c>
      <c r="K370" s="88"/>
    </row>
    <row r="371" spans="1:11" x14ac:dyDescent="0.2">
      <c r="A371" s="82">
        <v>570</v>
      </c>
      <c r="B371" s="83" t="s">
        <v>120</v>
      </c>
      <c r="C371" s="83" t="s">
        <v>113</v>
      </c>
      <c r="D371" s="84" t="s">
        <v>199</v>
      </c>
      <c r="E371" s="85" t="s">
        <v>176</v>
      </c>
      <c r="F371" s="86">
        <f t="shared" ref="F371:F381" si="2">41.7-6.24</f>
        <v>35.46</v>
      </c>
      <c r="G371" s="87">
        <v>2400.2669999999998</v>
      </c>
      <c r="H371" s="45" t="s">
        <v>103</v>
      </c>
      <c r="I371" s="45" t="s">
        <v>94</v>
      </c>
      <c r="J371" s="45" t="s">
        <v>26</v>
      </c>
      <c r="K371" s="88"/>
    </row>
    <row r="372" spans="1:11" x14ac:dyDescent="0.2">
      <c r="A372" s="83">
        <v>571</v>
      </c>
      <c r="B372" s="83" t="s">
        <v>120</v>
      </c>
      <c r="C372" s="83" t="s">
        <v>113</v>
      </c>
      <c r="D372" s="84" t="s">
        <v>200</v>
      </c>
      <c r="E372" s="85" t="s">
        <v>176</v>
      </c>
      <c r="F372" s="86">
        <f t="shared" si="2"/>
        <v>35.46</v>
      </c>
      <c r="G372" s="87">
        <v>2400.2669999999998</v>
      </c>
      <c r="H372" s="45" t="s">
        <v>103</v>
      </c>
      <c r="I372" s="45" t="s">
        <v>46</v>
      </c>
      <c r="J372" s="45" t="s">
        <v>26</v>
      </c>
      <c r="K372" s="88"/>
    </row>
    <row r="373" spans="1:11" x14ac:dyDescent="0.2">
      <c r="A373" s="82">
        <v>602</v>
      </c>
      <c r="B373" s="83" t="s">
        <v>120</v>
      </c>
      <c r="C373" s="83" t="s">
        <v>114</v>
      </c>
      <c r="D373" s="84" t="s">
        <v>201</v>
      </c>
      <c r="E373" s="85" t="s">
        <v>176</v>
      </c>
      <c r="F373" s="86">
        <f t="shared" si="2"/>
        <v>35.46</v>
      </c>
      <c r="G373" s="45" t="s">
        <v>132</v>
      </c>
      <c r="H373" s="45" t="s">
        <v>103</v>
      </c>
      <c r="I373" s="45" t="s">
        <v>94</v>
      </c>
      <c r="J373" s="45" t="s">
        <v>26</v>
      </c>
      <c r="K373" s="88"/>
    </row>
    <row r="374" spans="1:11" x14ac:dyDescent="0.2">
      <c r="A374" s="82">
        <v>603</v>
      </c>
      <c r="B374" s="83" t="s">
        <v>120</v>
      </c>
      <c r="C374" s="83" t="s">
        <v>114</v>
      </c>
      <c r="D374" s="84" t="s">
        <v>202</v>
      </c>
      <c r="E374" s="85" t="s">
        <v>176</v>
      </c>
      <c r="F374" s="86">
        <f t="shared" si="2"/>
        <v>35.46</v>
      </c>
      <c r="G374" s="45" t="s">
        <v>132</v>
      </c>
      <c r="H374" s="45" t="s">
        <v>103</v>
      </c>
      <c r="I374" s="45" t="s">
        <v>46</v>
      </c>
      <c r="J374" s="45" t="s">
        <v>26</v>
      </c>
      <c r="K374" s="88"/>
    </row>
    <row r="375" spans="1:11" x14ac:dyDescent="0.2">
      <c r="A375" s="83">
        <v>604</v>
      </c>
      <c r="B375" s="83" t="s">
        <v>120</v>
      </c>
      <c r="C375" s="83" t="s">
        <v>114</v>
      </c>
      <c r="D375" s="84" t="s">
        <v>203</v>
      </c>
      <c r="E375" s="85" t="s">
        <v>176</v>
      </c>
      <c r="F375" s="86">
        <f t="shared" si="2"/>
        <v>35.46</v>
      </c>
      <c r="G375" s="45" t="s">
        <v>132</v>
      </c>
      <c r="H375" s="45" t="s">
        <v>103</v>
      </c>
      <c r="I375" s="45" t="s">
        <v>94</v>
      </c>
      <c r="J375" s="45" t="s">
        <v>26</v>
      </c>
      <c r="K375" s="88"/>
    </row>
    <row r="376" spans="1:11" x14ac:dyDescent="0.2">
      <c r="A376" s="82">
        <v>605</v>
      </c>
      <c r="B376" s="83" t="s">
        <v>120</v>
      </c>
      <c r="C376" s="83" t="s">
        <v>114</v>
      </c>
      <c r="D376" s="84" t="s">
        <v>204</v>
      </c>
      <c r="E376" s="85" t="s">
        <v>176</v>
      </c>
      <c r="F376" s="86">
        <f t="shared" si="2"/>
        <v>35.46</v>
      </c>
      <c r="G376" s="45" t="s">
        <v>132</v>
      </c>
      <c r="H376" s="45" t="s">
        <v>103</v>
      </c>
      <c r="I376" s="45" t="s">
        <v>46</v>
      </c>
      <c r="J376" s="45" t="s">
        <v>26</v>
      </c>
      <c r="K376" s="88"/>
    </row>
    <row r="377" spans="1:11" x14ac:dyDescent="0.2">
      <c r="A377" s="82">
        <v>606</v>
      </c>
      <c r="B377" s="83" t="s">
        <v>120</v>
      </c>
      <c r="C377" s="83" t="s">
        <v>114</v>
      </c>
      <c r="D377" s="84" t="s">
        <v>205</v>
      </c>
      <c r="E377" s="85" t="s">
        <v>176</v>
      </c>
      <c r="F377" s="86">
        <f t="shared" si="2"/>
        <v>35.46</v>
      </c>
      <c r="G377" s="45" t="s">
        <v>132</v>
      </c>
      <c r="H377" s="45" t="s">
        <v>103</v>
      </c>
      <c r="I377" s="45" t="s">
        <v>46</v>
      </c>
      <c r="J377" s="45" t="s">
        <v>26</v>
      </c>
      <c r="K377" s="88"/>
    </row>
    <row r="378" spans="1:11" x14ac:dyDescent="0.2">
      <c r="A378" s="83">
        <v>607</v>
      </c>
      <c r="B378" s="83" t="s">
        <v>120</v>
      </c>
      <c r="C378" s="83" t="s">
        <v>114</v>
      </c>
      <c r="D378" s="84" t="s">
        <v>206</v>
      </c>
      <c r="E378" s="85" t="s">
        <v>176</v>
      </c>
      <c r="F378" s="86">
        <f t="shared" si="2"/>
        <v>35.46</v>
      </c>
      <c r="G378" s="45" t="s">
        <v>132</v>
      </c>
      <c r="H378" s="45" t="s">
        <v>103</v>
      </c>
      <c r="I378" s="45" t="s">
        <v>94</v>
      </c>
      <c r="J378" s="45" t="s">
        <v>26</v>
      </c>
      <c r="K378" s="88"/>
    </row>
    <row r="379" spans="1:11" x14ac:dyDescent="0.2">
      <c r="A379" s="82">
        <v>608</v>
      </c>
      <c r="B379" s="83" t="s">
        <v>120</v>
      </c>
      <c r="C379" s="83" t="s">
        <v>114</v>
      </c>
      <c r="D379" s="89" t="s">
        <v>207</v>
      </c>
      <c r="E379" s="90" t="s">
        <v>176</v>
      </c>
      <c r="F379" s="86">
        <f t="shared" si="2"/>
        <v>35.46</v>
      </c>
      <c r="G379" s="92" t="s">
        <v>132</v>
      </c>
      <c r="H379" s="92" t="s">
        <v>103</v>
      </c>
      <c r="I379" s="92" t="s">
        <v>46</v>
      </c>
      <c r="J379" s="45" t="s">
        <v>26</v>
      </c>
      <c r="K379" s="100"/>
    </row>
    <row r="380" spans="1:11" x14ac:dyDescent="0.2">
      <c r="A380" s="82">
        <v>609</v>
      </c>
      <c r="B380" s="83" t="s">
        <v>120</v>
      </c>
      <c r="C380" s="83" t="s">
        <v>114</v>
      </c>
      <c r="D380" s="84" t="s">
        <v>208</v>
      </c>
      <c r="E380" s="85" t="s">
        <v>176</v>
      </c>
      <c r="F380" s="86">
        <f t="shared" si="2"/>
        <v>35.46</v>
      </c>
      <c r="G380" s="45" t="s">
        <v>132</v>
      </c>
      <c r="H380" s="45" t="s">
        <v>103</v>
      </c>
      <c r="I380" s="45" t="s">
        <v>94</v>
      </c>
      <c r="J380" s="45" t="s">
        <v>26</v>
      </c>
      <c r="K380" s="88"/>
    </row>
    <row r="381" spans="1:11" x14ac:dyDescent="0.2">
      <c r="A381" s="83">
        <v>610</v>
      </c>
      <c r="B381" s="83" t="s">
        <v>120</v>
      </c>
      <c r="C381" s="83" t="s">
        <v>114</v>
      </c>
      <c r="D381" s="84" t="s">
        <v>209</v>
      </c>
      <c r="E381" s="85" t="s">
        <v>176</v>
      </c>
      <c r="F381" s="86">
        <f t="shared" si="2"/>
        <v>35.46</v>
      </c>
      <c r="G381" s="45" t="s">
        <v>132</v>
      </c>
      <c r="H381" s="45" t="s">
        <v>103</v>
      </c>
      <c r="I381" s="45" t="s">
        <v>94</v>
      </c>
      <c r="J381" s="45" t="s">
        <v>26</v>
      </c>
      <c r="K381" s="88"/>
    </row>
    <row r="382" spans="1:11" ht="30" x14ac:dyDescent="0.2">
      <c r="A382" s="83">
        <v>160</v>
      </c>
      <c r="B382" s="83" t="s">
        <v>116</v>
      </c>
      <c r="C382" s="83" t="s">
        <v>113</v>
      </c>
      <c r="D382" s="84" t="s">
        <v>210</v>
      </c>
      <c r="E382" s="85" t="s">
        <v>211</v>
      </c>
      <c r="F382" s="86">
        <v>5.15</v>
      </c>
      <c r="G382" s="45" t="s">
        <v>212</v>
      </c>
      <c r="H382" s="45" t="s">
        <v>213</v>
      </c>
      <c r="I382" s="45" t="s">
        <v>54</v>
      </c>
      <c r="J382" s="45" t="s">
        <v>26</v>
      </c>
      <c r="K382" s="88"/>
    </row>
    <row r="383" spans="1:11" ht="30" x14ac:dyDescent="0.2">
      <c r="A383" s="82">
        <v>159</v>
      </c>
      <c r="B383" s="83" t="s">
        <v>116</v>
      </c>
      <c r="C383" s="83" t="s">
        <v>113</v>
      </c>
      <c r="D383" s="84" t="s">
        <v>215</v>
      </c>
      <c r="E383" s="85" t="s">
        <v>216</v>
      </c>
      <c r="F383" s="86">
        <v>2.8</v>
      </c>
      <c r="G383" s="45" t="s">
        <v>212</v>
      </c>
      <c r="H383" s="45" t="s">
        <v>213</v>
      </c>
      <c r="I383" s="45" t="s">
        <v>54</v>
      </c>
      <c r="J383" s="45" t="s">
        <v>26</v>
      </c>
      <c r="K383" s="88"/>
    </row>
    <row r="384" spans="1:11" x14ac:dyDescent="0.2">
      <c r="A384" s="82">
        <v>296</v>
      </c>
      <c r="B384" s="83" t="s">
        <v>118</v>
      </c>
      <c r="C384" s="83" t="s">
        <v>112</v>
      </c>
      <c r="D384" s="84" t="s">
        <v>128</v>
      </c>
      <c r="E384" s="85" t="s">
        <v>129</v>
      </c>
      <c r="F384" s="86">
        <f t="shared" ref="F384:F415" si="3">2.4*2.6</f>
        <v>6.24</v>
      </c>
      <c r="G384" s="87">
        <v>2400.2669999999998</v>
      </c>
      <c r="H384" s="45" t="s">
        <v>103</v>
      </c>
      <c r="I384" s="45" t="s">
        <v>46</v>
      </c>
      <c r="J384" s="45" t="s">
        <v>18</v>
      </c>
      <c r="K384" s="88"/>
    </row>
    <row r="385" spans="1:11" x14ac:dyDescent="0.2">
      <c r="A385" s="82">
        <v>297</v>
      </c>
      <c r="B385" s="83" t="s">
        <v>118</v>
      </c>
      <c r="C385" s="83" t="s">
        <v>112</v>
      </c>
      <c r="D385" s="84" t="s">
        <v>131</v>
      </c>
      <c r="E385" s="85" t="s">
        <v>129</v>
      </c>
      <c r="F385" s="86">
        <f t="shared" si="3"/>
        <v>6.24</v>
      </c>
      <c r="G385" s="45" t="s">
        <v>132</v>
      </c>
      <c r="H385" s="45" t="s">
        <v>103</v>
      </c>
      <c r="I385" s="45" t="s">
        <v>94</v>
      </c>
      <c r="J385" s="45" t="s">
        <v>18</v>
      </c>
      <c r="K385" s="88"/>
    </row>
    <row r="386" spans="1:11" x14ac:dyDescent="0.2">
      <c r="A386" s="83">
        <v>298</v>
      </c>
      <c r="B386" s="83" t="s">
        <v>118</v>
      </c>
      <c r="C386" s="83" t="s">
        <v>112</v>
      </c>
      <c r="D386" s="84" t="s">
        <v>133</v>
      </c>
      <c r="E386" s="85" t="s">
        <v>129</v>
      </c>
      <c r="F386" s="86">
        <f t="shared" si="3"/>
        <v>6.24</v>
      </c>
      <c r="G386" s="87">
        <v>2400.2669999999998</v>
      </c>
      <c r="H386" s="45" t="s">
        <v>103</v>
      </c>
      <c r="I386" s="45" t="s">
        <v>46</v>
      </c>
      <c r="J386" s="45" t="s">
        <v>18</v>
      </c>
      <c r="K386" s="88"/>
    </row>
    <row r="387" spans="1:11" x14ac:dyDescent="0.2">
      <c r="A387" s="82">
        <v>299</v>
      </c>
      <c r="B387" s="83" t="s">
        <v>118</v>
      </c>
      <c r="C387" s="83" t="s">
        <v>112</v>
      </c>
      <c r="D387" s="84" t="s">
        <v>134</v>
      </c>
      <c r="E387" s="85" t="s">
        <v>129</v>
      </c>
      <c r="F387" s="86">
        <f t="shared" si="3"/>
        <v>6.24</v>
      </c>
      <c r="G387" s="87">
        <v>2400.2669999999998</v>
      </c>
      <c r="H387" s="45" t="s">
        <v>103</v>
      </c>
      <c r="I387" s="45" t="s">
        <v>46</v>
      </c>
      <c r="J387" s="45" t="s">
        <v>18</v>
      </c>
      <c r="K387" s="88"/>
    </row>
    <row r="388" spans="1:11" x14ac:dyDescent="0.2">
      <c r="A388" s="82">
        <v>300</v>
      </c>
      <c r="B388" s="83" t="s">
        <v>118</v>
      </c>
      <c r="C388" s="83" t="s">
        <v>112</v>
      </c>
      <c r="D388" s="84" t="s">
        <v>135</v>
      </c>
      <c r="E388" s="85" t="s">
        <v>129</v>
      </c>
      <c r="F388" s="86">
        <f t="shared" si="3"/>
        <v>6.24</v>
      </c>
      <c r="G388" s="87">
        <v>2400.2669999999998</v>
      </c>
      <c r="H388" s="45" t="s">
        <v>103</v>
      </c>
      <c r="I388" s="45" t="s">
        <v>94</v>
      </c>
      <c r="J388" s="45" t="s">
        <v>18</v>
      </c>
      <c r="K388" s="88"/>
    </row>
    <row r="389" spans="1:11" x14ac:dyDescent="0.2">
      <c r="A389" s="83">
        <v>301</v>
      </c>
      <c r="B389" s="83" t="s">
        <v>118</v>
      </c>
      <c r="C389" s="83" t="s">
        <v>112</v>
      </c>
      <c r="D389" s="84" t="s">
        <v>136</v>
      </c>
      <c r="E389" s="85" t="s">
        <v>129</v>
      </c>
      <c r="F389" s="86">
        <f t="shared" si="3"/>
        <v>6.24</v>
      </c>
      <c r="G389" s="45" t="s">
        <v>132</v>
      </c>
      <c r="H389" s="45" t="s">
        <v>103</v>
      </c>
      <c r="I389" s="45" t="s">
        <v>46</v>
      </c>
      <c r="J389" s="45" t="s">
        <v>18</v>
      </c>
      <c r="K389" s="88"/>
    </row>
    <row r="390" spans="1:11" x14ac:dyDescent="0.2">
      <c r="A390" s="82">
        <v>302</v>
      </c>
      <c r="B390" s="83" t="s">
        <v>118</v>
      </c>
      <c r="C390" s="83" t="s">
        <v>112</v>
      </c>
      <c r="D390" s="84" t="s">
        <v>137</v>
      </c>
      <c r="E390" s="85" t="s">
        <v>129</v>
      </c>
      <c r="F390" s="86">
        <f t="shared" si="3"/>
        <v>6.24</v>
      </c>
      <c r="G390" s="87">
        <v>2400.2669999999998</v>
      </c>
      <c r="H390" s="45" t="s">
        <v>103</v>
      </c>
      <c r="I390" s="45" t="s">
        <v>94</v>
      </c>
      <c r="J390" s="45" t="s">
        <v>18</v>
      </c>
      <c r="K390" s="88"/>
    </row>
    <row r="391" spans="1:11" x14ac:dyDescent="0.2">
      <c r="A391" s="82">
        <v>303</v>
      </c>
      <c r="B391" s="83" t="s">
        <v>118</v>
      </c>
      <c r="C391" s="83" t="s">
        <v>112</v>
      </c>
      <c r="D391" s="84" t="s">
        <v>138</v>
      </c>
      <c r="E391" s="85" t="s">
        <v>129</v>
      </c>
      <c r="F391" s="86">
        <f t="shared" si="3"/>
        <v>6.24</v>
      </c>
      <c r="G391" s="87">
        <v>2400.2669999999998</v>
      </c>
      <c r="H391" s="45" t="s">
        <v>103</v>
      </c>
      <c r="I391" s="45" t="s">
        <v>94</v>
      </c>
      <c r="J391" s="45" t="s">
        <v>18</v>
      </c>
      <c r="K391" s="88"/>
    </row>
    <row r="392" spans="1:11" x14ac:dyDescent="0.2">
      <c r="A392" s="83">
        <v>304</v>
      </c>
      <c r="B392" s="83" t="s">
        <v>118</v>
      </c>
      <c r="C392" s="83" t="s">
        <v>112</v>
      </c>
      <c r="D392" s="84" t="s">
        <v>139</v>
      </c>
      <c r="E392" s="85" t="s">
        <v>129</v>
      </c>
      <c r="F392" s="86">
        <f t="shared" si="3"/>
        <v>6.24</v>
      </c>
      <c r="G392" s="87">
        <v>2400.2669999999998</v>
      </c>
      <c r="H392" s="45" t="s">
        <v>103</v>
      </c>
      <c r="I392" s="45" t="s">
        <v>94</v>
      </c>
      <c r="J392" s="45" t="s">
        <v>18</v>
      </c>
      <c r="K392" s="88"/>
    </row>
    <row r="393" spans="1:11" x14ac:dyDescent="0.2">
      <c r="A393" s="82">
        <v>335</v>
      </c>
      <c r="B393" s="83" t="s">
        <v>118</v>
      </c>
      <c r="C393" s="83" t="s">
        <v>113</v>
      </c>
      <c r="D393" s="89" t="s">
        <v>140</v>
      </c>
      <c r="E393" s="90" t="s">
        <v>129</v>
      </c>
      <c r="F393" s="86">
        <f t="shared" si="3"/>
        <v>6.24</v>
      </c>
      <c r="G393" s="91">
        <v>2400.2669999999998</v>
      </c>
      <c r="H393" s="92" t="s">
        <v>103</v>
      </c>
      <c r="I393" s="92" t="s">
        <v>46</v>
      </c>
      <c r="J393" s="45" t="s">
        <v>18</v>
      </c>
      <c r="K393" s="93"/>
    </row>
    <row r="394" spans="1:11" x14ac:dyDescent="0.2">
      <c r="A394" s="82">
        <v>336</v>
      </c>
      <c r="B394" s="83" t="s">
        <v>118</v>
      </c>
      <c r="C394" s="83" t="s">
        <v>113</v>
      </c>
      <c r="D394" s="84" t="s">
        <v>141</v>
      </c>
      <c r="E394" s="85" t="s">
        <v>129</v>
      </c>
      <c r="F394" s="86">
        <f t="shared" si="3"/>
        <v>6.24</v>
      </c>
      <c r="G394" s="87">
        <v>2400.2669999999998</v>
      </c>
      <c r="H394" s="45" t="s">
        <v>103</v>
      </c>
      <c r="I394" s="45" t="s">
        <v>94</v>
      </c>
      <c r="J394" s="45" t="s">
        <v>18</v>
      </c>
      <c r="K394" s="99"/>
    </row>
    <row r="395" spans="1:11" x14ac:dyDescent="0.2">
      <c r="A395" s="83">
        <v>337</v>
      </c>
      <c r="B395" s="83" t="s">
        <v>118</v>
      </c>
      <c r="C395" s="83" t="s">
        <v>113</v>
      </c>
      <c r="D395" s="84" t="s">
        <v>142</v>
      </c>
      <c r="E395" s="85" t="s">
        <v>129</v>
      </c>
      <c r="F395" s="86">
        <f t="shared" si="3"/>
        <v>6.24</v>
      </c>
      <c r="G395" s="87">
        <v>2400.2669999999998</v>
      </c>
      <c r="H395" s="45" t="s">
        <v>103</v>
      </c>
      <c r="I395" s="45" t="s">
        <v>46</v>
      </c>
      <c r="J395" s="45" t="s">
        <v>18</v>
      </c>
      <c r="K395" s="99"/>
    </row>
    <row r="396" spans="1:11" x14ac:dyDescent="0.2">
      <c r="A396" s="82">
        <v>338</v>
      </c>
      <c r="B396" s="83" t="s">
        <v>118</v>
      </c>
      <c r="C396" s="83" t="s">
        <v>113</v>
      </c>
      <c r="D396" s="84" t="s">
        <v>143</v>
      </c>
      <c r="E396" s="85" t="s">
        <v>129</v>
      </c>
      <c r="F396" s="86">
        <f t="shared" si="3"/>
        <v>6.24</v>
      </c>
      <c r="G396" s="45" t="s">
        <v>132</v>
      </c>
      <c r="H396" s="45" t="s">
        <v>103</v>
      </c>
      <c r="I396" s="45" t="s">
        <v>46</v>
      </c>
      <c r="J396" s="45" t="s">
        <v>18</v>
      </c>
      <c r="K396" s="99"/>
    </row>
    <row r="397" spans="1:11" x14ac:dyDescent="0.2">
      <c r="A397" s="82">
        <v>339</v>
      </c>
      <c r="B397" s="83" t="s">
        <v>118</v>
      </c>
      <c r="C397" s="83" t="s">
        <v>113</v>
      </c>
      <c r="D397" s="84" t="s">
        <v>144</v>
      </c>
      <c r="E397" s="85" t="s">
        <v>129</v>
      </c>
      <c r="F397" s="86">
        <f t="shared" si="3"/>
        <v>6.24</v>
      </c>
      <c r="G397" s="87">
        <v>2400.2669999999998</v>
      </c>
      <c r="H397" s="45" t="s">
        <v>103</v>
      </c>
      <c r="I397" s="45" t="s">
        <v>94</v>
      </c>
      <c r="J397" s="45" t="s">
        <v>18</v>
      </c>
      <c r="K397" s="99"/>
    </row>
    <row r="398" spans="1:11" x14ac:dyDescent="0.2">
      <c r="A398" s="83">
        <v>340</v>
      </c>
      <c r="B398" s="83" t="s">
        <v>118</v>
      </c>
      <c r="C398" s="83" t="s">
        <v>113</v>
      </c>
      <c r="D398" s="84" t="s">
        <v>145</v>
      </c>
      <c r="E398" s="85" t="s">
        <v>129</v>
      </c>
      <c r="F398" s="86">
        <f t="shared" si="3"/>
        <v>6.24</v>
      </c>
      <c r="G398" s="87">
        <v>2400.2669999999998</v>
      </c>
      <c r="H398" s="45" t="s">
        <v>103</v>
      </c>
      <c r="I398" s="45" t="s">
        <v>46</v>
      </c>
      <c r="J398" s="45" t="s">
        <v>18</v>
      </c>
      <c r="K398" s="99"/>
    </row>
    <row r="399" spans="1:11" x14ac:dyDescent="0.2">
      <c r="A399" s="82">
        <v>341</v>
      </c>
      <c r="B399" s="83" t="s">
        <v>118</v>
      </c>
      <c r="C399" s="83" t="s">
        <v>113</v>
      </c>
      <c r="D399" s="84" t="s">
        <v>146</v>
      </c>
      <c r="E399" s="85" t="s">
        <v>129</v>
      </c>
      <c r="F399" s="86">
        <f t="shared" si="3"/>
        <v>6.24</v>
      </c>
      <c r="G399" s="87">
        <v>2400.2669999999998</v>
      </c>
      <c r="H399" s="45" t="s">
        <v>103</v>
      </c>
      <c r="I399" s="45" t="s">
        <v>94</v>
      </c>
      <c r="J399" s="45" t="s">
        <v>18</v>
      </c>
      <c r="K399" s="99"/>
    </row>
    <row r="400" spans="1:11" x14ac:dyDescent="0.2">
      <c r="A400" s="82">
        <v>342</v>
      </c>
      <c r="B400" s="83" t="s">
        <v>118</v>
      </c>
      <c r="C400" s="83" t="s">
        <v>113</v>
      </c>
      <c r="D400" s="84" t="s">
        <v>147</v>
      </c>
      <c r="E400" s="85" t="s">
        <v>129</v>
      </c>
      <c r="F400" s="86">
        <f t="shared" si="3"/>
        <v>6.24</v>
      </c>
      <c r="G400" s="45" t="s">
        <v>132</v>
      </c>
      <c r="H400" s="45" t="s">
        <v>103</v>
      </c>
      <c r="I400" s="45" t="s">
        <v>94</v>
      </c>
      <c r="J400" s="45" t="s">
        <v>18</v>
      </c>
      <c r="K400" s="99"/>
    </row>
    <row r="401" spans="1:11" x14ac:dyDescent="0.2">
      <c r="A401" s="83">
        <v>343</v>
      </c>
      <c r="B401" s="83" t="s">
        <v>118</v>
      </c>
      <c r="C401" s="83" t="s">
        <v>113</v>
      </c>
      <c r="D401" s="84" t="s">
        <v>148</v>
      </c>
      <c r="E401" s="85" t="s">
        <v>129</v>
      </c>
      <c r="F401" s="86">
        <f t="shared" si="3"/>
        <v>6.24</v>
      </c>
      <c r="G401" s="87">
        <v>2400.2669999999998</v>
      </c>
      <c r="H401" s="45" t="s">
        <v>103</v>
      </c>
      <c r="I401" s="45" t="s">
        <v>46</v>
      </c>
      <c r="J401" s="45" t="s">
        <v>18</v>
      </c>
      <c r="K401" s="99"/>
    </row>
    <row r="402" spans="1:11" x14ac:dyDescent="0.2">
      <c r="A402" s="82">
        <v>369</v>
      </c>
      <c r="B402" s="83" t="s">
        <v>118</v>
      </c>
      <c r="C402" s="83" t="s">
        <v>114</v>
      </c>
      <c r="D402" s="84" t="s">
        <v>149</v>
      </c>
      <c r="E402" s="85" t="s">
        <v>129</v>
      </c>
      <c r="F402" s="86">
        <f t="shared" si="3"/>
        <v>6.24</v>
      </c>
      <c r="G402" s="87">
        <v>2400.2669999999998</v>
      </c>
      <c r="H402" s="45" t="s">
        <v>150</v>
      </c>
      <c r="I402" s="45" t="s">
        <v>94</v>
      </c>
      <c r="J402" s="45" t="s">
        <v>18</v>
      </c>
      <c r="K402" s="88"/>
    </row>
    <row r="403" spans="1:11" ht="30" x14ac:dyDescent="0.2">
      <c r="A403" s="83">
        <v>370</v>
      </c>
      <c r="B403" s="83" t="s">
        <v>118</v>
      </c>
      <c r="C403" s="83" t="s">
        <v>114</v>
      </c>
      <c r="D403" s="84" t="s">
        <v>151</v>
      </c>
      <c r="E403" s="85" t="s">
        <v>129</v>
      </c>
      <c r="F403" s="86">
        <f t="shared" si="3"/>
        <v>6.24</v>
      </c>
      <c r="G403" s="87">
        <v>2400.2669999999998</v>
      </c>
      <c r="H403" s="45" t="s">
        <v>152</v>
      </c>
      <c r="I403" s="45" t="s">
        <v>46</v>
      </c>
      <c r="J403" s="45" t="s">
        <v>18</v>
      </c>
      <c r="K403" s="88"/>
    </row>
    <row r="404" spans="1:11" x14ac:dyDescent="0.2">
      <c r="A404" s="82">
        <v>371</v>
      </c>
      <c r="B404" s="83" t="s">
        <v>118</v>
      </c>
      <c r="C404" s="83" t="s">
        <v>114</v>
      </c>
      <c r="D404" s="84" t="s">
        <v>153</v>
      </c>
      <c r="E404" s="85" t="s">
        <v>129</v>
      </c>
      <c r="F404" s="86">
        <f t="shared" si="3"/>
        <v>6.24</v>
      </c>
      <c r="G404" s="45" t="s">
        <v>132</v>
      </c>
      <c r="H404" s="45" t="s">
        <v>103</v>
      </c>
      <c r="I404" s="45" t="s">
        <v>94</v>
      </c>
      <c r="J404" s="45" t="s">
        <v>18</v>
      </c>
      <c r="K404" s="88"/>
    </row>
    <row r="405" spans="1:11" x14ac:dyDescent="0.2">
      <c r="A405" s="82">
        <v>372</v>
      </c>
      <c r="B405" s="83" t="s">
        <v>118</v>
      </c>
      <c r="C405" s="83" t="s">
        <v>114</v>
      </c>
      <c r="D405" s="84" t="s">
        <v>154</v>
      </c>
      <c r="E405" s="85" t="s">
        <v>129</v>
      </c>
      <c r="F405" s="86">
        <f t="shared" si="3"/>
        <v>6.24</v>
      </c>
      <c r="G405" s="87">
        <v>2400.2669999999998</v>
      </c>
      <c r="H405" s="45" t="s">
        <v>103</v>
      </c>
      <c r="I405" s="45" t="s">
        <v>46</v>
      </c>
      <c r="J405" s="45" t="s">
        <v>18</v>
      </c>
      <c r="K405" s="88"/>
    </row>
    <row r="406" spans="1:11" x14ac:dyDescent="0.2">
      <c r="A406" s="83">
        <v>373</v>
      </c>
      <c r="B406" s="83" t="s">
        <v>118</v>
      </c>
      <c r="C406" s="83" t="s">
        <v>114</v>
      </c>
      <c r="D406" s="84" t="s">
        <v>155</v>
      </c>
      <c r="E406" s="85" t="s">
        <v>129</v>
      </c>
      <c r="F406" s="86">
        <f t="shared" si="3"/>
        <v>6.24</v>
      </c>
      <c r="G406" s="45" t="s">
        <v>132</v>
      </c>
      <c r="H406" s="45" t="s">
        <v>103</v>
      </c>
      <c r="I406" s="45" t="s">
        <v>94</v>
      </c>
      <c r="J406" s="45" t="s">
        <v>18</v>
      </c>
      <c r="K406" s="88"/>
    </row>
    <row r="407" spans="1:11" ht="30" x14ac:dyDescent="0.2">
      <c r="A407" s="82">
        <v>374</v>
      </c>
      <c r="B407" s="83" t="s">
        <v>118</v>
      </c>
      <c r="C407" s="83" t="s">
        <v>114</v>
      </c>
      <c r="D407" s="84" t="s">
        <v>156</v>
      </c>
      <c r="E407" s="85" t="s">
        <v>129</v>
      </c>
      <c r="F407" s="86">
        <f t="shared" si="3"/>
        <v>6.24</v>
      </c>
      <c r="G407" s="87">
        <v>2400.2669999999998</v>
      </c>
      <c r="H407" s="45" t="s">
        <v>157</v>
      </c>
      <c r="I407" s="45" t="s">
        <v>94</v>
      </c>
      <c r="J407" s="45" t="s">
        <v>18</v>
      </c>
      <c r="K407" s="88"/>
    </row>
    <row r="408" spans="1:11" x14ac:dyDescent="0.2">
      <c r="A408" s="82">
        <v>407</v>
      </c>
      <c r="B408" s="83" t="s">
        <v>119</v>
      </c>
      <c r="C408" s="83" t="s">
        <v>112</v>
      </c>
      <c r="D408" s="84" t="s">
        <v>158</v>
      </c>
      <c r="E408" s="85" t="s">
        <v>129</v>
      </c>
      <c r="F408" s="86">
        <f t="shared" si="3"/>
        <v>6.24</v>
      </c>
      <c r="G408" s="87">
        <v>2400.2669999999998</v>
      </c>
      <c r="H408" s="45" t="s">
        <v>103</v>
      </c>
      <c r="I408" s="45" t="s">
        <v>94</v>
      </c>
      <c r="J408" s="45" t="s">
        <v>18</v>
      </c>
      <c r="K408" s="88"/>
    </row>
    <row r="409" spans="1:11" x14ac:dyDescent="0.2">
      <c r="A409" s="82">
        <v>408</v>
      </c>
      <c r="B409" s="83" t="s">
        <v>119</v>
      </c>
      <c r="C409" s="83" t="s">
        <v>112</v>
      </c>
      <c r="D409" s="84" t="s">
        <v>159</v>
      </c>
      <c r="E409" s="85" t="s">
        <v>129</v>
      </c>
      <c r="F409" s="86">
        <f t="shared" si="3"/>
        <v>6.24</v>
      </c>
      <c r="G409" s="87">
        <v>2400.2669999999998</v>
      </c>
      <c r="H409" s="45" t="s">
        <v>103</v>
      </c>
      <c r="I409" s="45" t="s">
        <v>46</v>
      </c>
      <c r="J409" s="45" t="s">
        <v>18</v>
      </c>
      <c r="K409" s="88"/>
    </row>
    <row r="410" spans="1:11" x14ac:dyDescent="0.2">
      <c r="A410" s="83">
        <v>409</v>
      </c>
      <c r="B410" s="83" t="s">
        <v>119</v>
      </c>
      <c r="C410" s="83" t="s">
        <v>112</v>
      </c>
      <c r="D410" s="84" t="s">
        <v>160</v>
      </c>
      <c r="E410" s="85" t="s">
        <v>129</v>
      </c>
      <c r="F410" s="86">
        <f t="shared" si="3"/>
        <v>6.24</v>
      </c>
      <c r="G410" s="87">
        <v>2400.2669999999998</v>
      </c>
      <c r="H410" s="45" t="s">
        <v>103</v>
      </c>
      <c r="I410" s="45" t="s">
        <v>46</v>
      </c>
      <c r="J410" s="45" t="s">
        <v>18</v>
      </c>
      <c r="K410" s="88"/>
    </row>
    <row r="411" spans="1:11" x14ac:dyDescent="0.2">
      <c r="A411" s="82">
        <v>410</v>
      </c>
      <c r="B411" s="83" t="s">
        <v>119</v>
      </c>
      <c r="C411" s="83" t="s">
        <v>112</v>
      </c>
      <c r="D411" s="84" t="s">
        <v>161</v>
      </c>
      <c r="E411" s="85" t="s">
        <v>129</v>
      </c>
      <c r="F411" s="86">
        <f t="shared" si="3"/>
        <v>6.24</v>
      </c>
      <c r="G411" s="87">
        <v>2400.2669999999998</v>
      </c>
      <c r="H411" s="45" t="s">
        <v>103</v>
      </c>
      <c r="I411" s="45" t="s">
        <v>94</v>
      </c>
      <c r="J411" s="45" t="s">
        <v>18</v>
      </c>
      <c r="K411" s="88"/>
    </row>
    <row r="412" spans="1:11" x14ac:dyDescent="0.2">
      <c r="A412" s="82">
        <v>411</v>
      </c>
      <c r="B412" s="83" t="s">
        <v>119</v>
      </c>
      <c r="C412" s="83" t="s">
        <v>112</v>
      </c>
      <c r="D412" s="84" t="s">
        <v>162</v>
      </c>
      <c r="E412" s="85" t="s">
        <v>129</v>
      </c>
      <c r="F412" s="86">
        <f t="shared" si="3"/>
        <v>6.24</v>
      </c>
      <c r="G412" s="87">
        <v>2400.2669999999998</v>
      </c>
      <c r="H412" s="45" t="s">
        <v>103</v>
      </c>
      <c r="I412" s="45" t="s">
        <v>46</v>
      </c>
      <c r="J412" s="45" t="s">
        <v>18</v>
      </c>
      <c r="K412" s="88"/>
    </row>
    <row r="413" spans="1:11" x14ac:dyDescent="0.2">
      <c r="A413" s="83">
        <v>412</v>
      </c>
      <c r="B413" s="83" t="s">
        <v>119</v>
      </c>
      <c r="C413" s="83" t="s">
        <v>112</v>
      </c>
      <c r="D413" s="84" t="s">
        <v>163</v>
      </c>
      <c r="E413" s="85" t="s">
        <v>129</v>
      </c>
      <c r="F413" s="86">
        <f t="shared" si="3"/>
        <v>6.24</v>
      </c>
      <c r="G413" s="87">
        <v>2400.2669999999998</v>
      </c>
      <c r="H413" s="45" t="s">
        <v>103</v>
      </c>
      <c r="I413" s="45" t="s">
        <v>94</v>
      </c>
      <c r="J413" s="45" t="s">
        <v>18</v>
      </c>
      <c r="K413" s="88"/>
    </row>
    <row r="414" spans="1:11" x14ac:dyDescent="0.2">
      <c r="A414" s="82">
        <v>413</v>
      </c>
      <c r="B414" s="83" t="s">
        <v>119</v>
      </c>
      <c r="C414" s="83" t="s">
        <v>112</v>
      </c>
      <c r="D414" s="84" t="s">
        <v>164</v>
      </c>
      <c r="E414" s="85" t="s">
        <v>129</v>
      </c>
      <c r="F414" s="86">
        <f t="shared" si="3"/>
        <v>6.24</v>
      </c>
      <c r="G414" s="87">
        <v>2400.2669999999998</v>
      </c>
      <c r="H414" s="45" t="s">
        <v>103</v>
      </c>
      <c r="I414" s="45" t="s">
        <v>94</v>
      </c>
      <c r="J414" s="45" t="s">
        <v>18</v>
      </c>
      <c r="K414" s="88"/>
    </row>
    <row r="415" spans="1:11" x14ac:dyDescent="0.2">
      <c r="A415" s="82">
        <v>414</v>
      </c>
      <c r="B415" s="83" t="s">
        <v>119</v>
      </c>
      <c r="C415" s="83" t="s">
        <v>112</v>
      </c>
      <c r="D415" s="84" t="s">
        <v>165</v>
      </c>
      <c r="E415" s="85" t="s">
        <v>129</v>
      </c>
      <c r="F415" s="86">
        <f t="shared" si="3"/>
        <v>6.24</v>
      </c>
      <c r="G415" s="87">
        <v>2400.2669999999998</v>
      </c>
      <c r="H415" s="45" t="s">
        <v>103</v>
      </c>
      <c r="I415" s="45" t="s">
        <v>94</v>
      </c>
      <c r="J415" s="45" t="s">
        <v>18</v>
      </c>
      <c r="K415" s="88"/>
    </row>
    <row r="416" spans="1:11" x14ac:dyDescent="0.2">
      <c r="A416" s="82">
        <v>446</v>
      </c>
      <c r="B416" s="83" t="s">
        <v>119</v>
      </c>
      <c r="C416" s="83" t="s">
        <v>113</v>
      </c>
      <c r="D416" s="84" t="s">
        <v>166</v>
      </c>
      <c r="E416" s="85" t="s">
        <v>129</v>
      </c>
      <c r="F416" s="86">
        <f t="shared" ref="F416:F447" si="4">2.4*2.6</f>
        <v>6.24</v>
      </c>
      <c r="G416" s="87">
        <v>2400.2669999999998</v>
      </c>
      <c r="H416" s="45" t="s">
        <v>103</v>
      </c>
      <c r="I416" s="45" t="s">
        <v>46</v>
      </c>
      <c r="J416" s="45" t="s">
        <v>18</v>
      </c>
      <c r="K416" s="88"/>
    </row>
    <row r="417" spans="1:11" x14ac:dyDescent="0.2">
      <c r="A417" s="82">
        <v>447</v>
      </c>
      <c r="B417" s="83" t="s">
        <v>119</v>
      </c>
      <c r="C417" s="83" t="s">
        <v>113</v>
      </c>
      <c r="D417" s="84" t="s">
        <v>167</v>
      </c>
      <c r="E417" s="85" t="s">
        <v>129</v>
      </c>
      <c r="F417" s="86">
        <f t="shared" si="4"/>
        <v>6.24</v>
      </c>
      <c r="G417" s="45" t="s">
        <v>132</v>
      </c>
      <c r="H417" s="45" t="s">
        <v>103</v>
      </c>
      <c r="I417" s="45" t="s">
        <v>94</v>
      </c>
      <c r="J417" s="45" t="s">
        <v>18</v>
      </c>
      <c r="K417" s="88"/>
    </row>
    <row r="418" spans="1:11" x14ac:dyDescent="0.2">
      <c r="A418" s="83">
        <v>448</v>
      </c>
      <c r="B418" s="83" t="s">
        <v>119</v>
      </c>
      <c r="C418" s="83" t="s">
        <v>113</v>
      </c>
      <c r="D418" s="84" t="s">
        <v>168</v>
      </c>
      <c r="E418" s="85" t="s">
        <v>129</v>
      </c>
      <c r="F418" s="86">
        <f t="shared" si="4"/>
        <v>6.24</v>
      </c>
      <c r="G418" s="87">
        <v>2400.2669999999998</v>
      </c>
      <c r="H418" s="45" t="s">
        <v>103</v>
      </c>
      <c r="I418" s="45" t="s">
        <v>46</v>
      </c>
      <c r="J418" s="45" t="s">
        <v>18</v>
      </c>
      <c r="K418" s="88"/>
    </row>
    <row r="419" spans="1:11" x14ac:dyDescent="0.2">
      <c r="A419" s="82">
        <v>449</v>
      </c>
      <c r="B419" s="83" t="s">
        <v>119</v>
      </c>
      <c r="C419" s="83" t="s">
        <v>113</v>
      </c>
      <c r="D419" s="89" t="s">
        <v>169</v>
      </c>
      <c r="E419" s="90" t="s">
        <v>129</v>
      </c>
      <c r="F419" s="86">
        <f t="shared" si="4"/>
        <v>6.24</v>
      </c>
      <c r="G419" s="91">
        <v>2400.2669999999998</v>
      </c>
      <c r="H419" s="92" t="s">
        <v>103</v>
      </c>
      <c r="I419" s="92" t="s">
        <v>46</v>
      </c>
      <c r="J419" s="45" t="s">
        <v>18</v>
      </c>
      <c r="K419" s="100"/>
    </row>
    <row r="420" spans="1:11" x14ac:dyDescent="0.2">
      <c r="A420" s="82">
        <v>450</v>
      </c>
      <c r="B420" s="83" t="s">
        <v>119</v>
      </c>
      <c r="C420" s="83" t="s">
        <v>113</v>
      </c>
      <c r="D420" s="84" t="s">
        <v>170</v>
      </c>
      <c r="E420" s="85" t="s">
        <v>129</v>
      </c>
      <c r="F420" s="86">
        <f t="shared" si="4"/>
        <v>6.24</v>
      </c>
      <c r="G420" s="87">
        <v>2400.2669999999998</v>
      </c>
      <c r="H420" s="45" t="s">
        <v>103</v>
      </c>
      <c r="I420" s="45" t="s">
        <v>46</v>
      </c>
      <c r="J420" s="45" t="s">
        <v>18</v>
      </c>
      <c r="K420" s="88"/>
    </row>
    <row r="421" spans="1:11" x14ac:dyDescent="0.2">
      <c r="A421" s="83">
        <v>451</v>
      </c>
      <c r="B421" s="83" t="s">
        <v>119</v>
      </c>
      <c r="C421" s="83" t="s">
        <v>113</v>
      </c>
      <c r="D421" s="84" t="s">
        <v>171</v>
      </c>
      <c r="E421" s="85" t="s">
        <v>129</v>
      </c>
      <c r="F421" s="86">
        <f t="shared" si="4"/>
        <v>6.24</v>
      </c>
      <c r="G421" s="45" t="s">
        <v>132</v>
      </c>
      <c r="H421" s="45" t="s">
        <v>103</v>
      </c>
      <c r="I421" s="45" t="s">
        <v>94</v>
      </c>
      <c r="J421" s="45" t="s">
        <v>18</v>
      </c>
      <c r="K421" s="88"/>
    </row>
    <row r="422" spans="1:11" x14ac:dyDescent="0.2">
      <c r="A422" s="82">
        <v>452</v>
      </c>
      <c r="B422" s="83" t="s">
        <v>119</v>
      </c>
      <c r="C422" s="83" t="s">
        <v>113</v>
      </c>
      <c r="D422" s="84" t="s">
        <v>172</v>
      </c>
      <c r="E422" s="85" t="s">
        <v>129</v>
      </c>
      <c r="F422" s="86">
        <f t="shared" si="4"/>
        <v>6.24</v>
      </c>
      <c r="G422" s="87">
        <v>2400.2669999999998</v>
      </c>
      <c r="H422" s="45" t="s">
        <v>103</v>
      </c>
      <c r="I422" s="45" t="s">
        <v>94</v>
      </c>
      <c r="J422" s="45" t="s">
        <v>18</v>
      </c>
      <c r="K422" s="88"/>
    </row>
    <row r="423" spans="1:11" x14ac:dyDescent="0.2">
      <c r="A423" s="82">
        <v>453</v>
      </c>
      <c r="B423" s="83" t="s">
        <v>119</v>
      </c>
      <c r="C423" s="83" t="s">
        <v>113</v>
      </c>
      <c r="D423" s="84" t="s">
        <v>173</v>
      </c>
      <c r="E423" s="85" t="s">
        <v>129</v>
      </c>
      <c r="F423" s="86">
        <f t="shared" si="4"/>
        <v>6.24</v>
      </c>
      <c r="G423" s="87">
        <v>2400.2669999999998</v>
      </c>
      <c r="H423" s="45" t="s">
        <v>103</v>
      </c>
      <c r="I423" s="45" t="s">
        <v>46</v>
      </c>
      <c r="J423" s="45" t="s">
        <v>18</v>
      </c>
      <c r="K423" s="88"/>
    </row>
    <row r="424" spans="1:11" x14ac:dyDescent="0.2">
      <c r="A424" s="82">
        <v>486</v>
      </c>
      <c r="B424" s="83" t="s">
        <v>119</v>
      </c>
      <c r="C424" s="83" t="s">
        <v>114</v>
      </c>
      <c r="D424" s="84" t="s">
        <v>174</v>
      </c>
      <c r="E424" s="85" t="s">
        <v>129</v>
      </c>
      <c r="F424" s="86">
        <f t="shared" si="4"/>
        <v>6.24</v>
      </c>
      <c r="G424" s="87">
        <v>2400.2669999999998</v>
      </c>
      <c r="H424" s="45" t="s">
        <v>150</v>
      </c>
      <c r="I424" s="45" t="s">
        <v>94</v>
      </c>
      <c r="J424" s="45" t="s">
        <v>18</v>
      </c>
      <c r="K424" s="88"/>
    </row>
    <row r="425" spans="1:11" x14ac:dyDescent="0.2">
      <c r="A425" s="83">
        <v>487</v>
      </c>
      <c r="B425" s="83" t="s">
        <v>119</v>
      </c>
      <c r="C425" s="83" t="s">
        <v>114</v>
      </c>
      <c r="D425" s="84" t="s">
        <v>175</v>
      </c>
      <c r="E425" s="85" t="s">
        <v>176</v>
      </c>
      <c r="F425" s="86">
        <f t="shared" si="4"/>
        <v>6.24</v>
      </c>
      <c r="G425" s="45" t="s">
        <v>132</v>
      </c>
      <c r="H425" s="45" t="s">
        <v>150</v>
      </c>
      <c r="I425" s="45" t="s">
        <v>46</v>
      </c>
      <c r="J425" s="45" t="s">
        <v>18</v>
      </c>
      <c r="K425" s="88"/>
    </row>
    <row r="426" spans="1:11" x14ac:dyDescent="0.2">
      <c r="A426" s="82">
        <v>488</v>
      </c>
      <c r="B426" s="83" t="s">
        <v>119</v>
      </c>
      <c r="C426" s="83" t="s">
        <v>114</v>
      </c>
      <c r="D426" s="84" t="s">
        <v>177</v>
      </c>
      <c r="E426" s="85" t="s">
        <v>129</v>
      </c>
      <c r="F426" s="86">
        <f t="shared" si="4"/>
        <v>6.24</v>
      </c>
      <c r="G426" s="45" t="s">
        <v>132</v>
      </c>
      <c r="H426" s="45" t="s">
        <v>150</v>
      </c>
      <c r="I426" s="45" t="s">
        <v>94</v>
      </c>
      <c r="J426" s="45" t="s">
        <v>18</v>
      </c>
      <c r="K426" s="88"/>
    </row>
    <row r="427" spans="1:11" x14ac:dyDescent="0.2">
      <c r="A427" s="82">
        <v>489</v>
      </c>
      <c r="B427" s="83" t="s">
        <v>119</v>
      </c>
      <c r="C427" s="83" t="s">
        <v>114</v>
      </c>
      <c r="D427" s="84" t="s">
        <v>178</v>
      </c>
      <c r="E427" s="85" t="s">
        <v>129</v>
      </c>
      <c r="F427" s="86">
        <f t="shared" si="4"/>
        <v>6.24</v>
      </c>
      <c r="G427" s="45" t="s">
        <v>132</v>
      </c>
      <c r="H427" s="45" t="s">
        <v>103</v>
      </c>
      <c r="I427" s="45" t="s">
        <v>46</v>
      </c>
      <c r="J427" s="45" t="s">
        <v>18</v>
      </c>
      <c r="K427" s="88"/>
    </row>
    <row r="428" spans="1:11" x14ac:dyDescent="0.2">
      <c r="A428" s="83">
        <v>490</v>
      </c>
      <c r="B428" s="83" t="s">
        <v>119</v>
      </c>
      <c r="C428" s="83" t="s">
        <v>114</v>
      </c>
      <c r="D428" s="84" t="s">
        <v>179</v>
      </c>
      <c r="E428" s="85" t="s">
        <v>176</v>
      </c>
      <c r="F428" s="86">
        <f t="shared" si="4"/>
        <v>6.24</v>
      </c>
      <c r="G428" s="87">
        <v>2400.2669999999998</v>
      </c>
      <c r="H428" s="45" t="s">
        <v>103</v>
      </c>
      <c r="I428" s="45" t="s">
        <v>46</v>
      </c>
      <c r="J428" s="45" t="s">
        <v>18</v>
      </c>
      <c r="K428" s="88"/>
    </row>
    <row r="429" spans="1:11" x14ac:dyDescent="0.2">
      <c r="A429" s="82">
        <v>491</v>
      </c>
      <c r="B429" s="83" t="s">
        <v>119</v>
      </c>
      <c r="C429" s="83" t="s">
        <v>114</v>
      </c>
      <c r="D429" s="84" t="s">
        <v>180</v>
      </c>
      <c r="E429" s="85" t="s">
        <v>129</v>
      </c>
      <c r="F429" s="86">
        <f t="shared" si="4"/>
        <v>6.24</v>
      </c>
      <c r="G429" s="45" t="s">
        <v>132</v>
      </c>
      <c r="H429" s="45" t="s">
        <v>103</v>
      </c>
      <c r="I429" s="45" t="s">
        <v>94</v>
      </c>
      <c r="J429" s="45" t="s">
        <v>18</v>
      </c>
      <c r="K429" s="88"/>
    </row>
    <row r="430" spans="1:11" x14ac:dyDescent="0.2">
      <c r="A430" s="82">
        <v>492</v>
      </c>
      <c r="B430" s="83" t="s">
        <v>119</v>
      </c>
      <c r="C430" s="83" t="s">
        <v>114</v>
      </c>
      <c r="D430" s="84" t="s">
        <v>181</v>
      </c>
      <c r="E430" s="85" t="s">
        <v>176</v>
      </c>
      <c r="F430" s="86">
        <f t="shared" si="4"/>
        <v>6.24</v>
      </c>
      <c r="G430" s="87">
        <v>2400.2669999999998</v>
      </c>
      <c r="H430" s="45" t="s">
        <v>103</v>
      </c>
      <c r="I430" s="45" t="s">
        <v>94</v>
      </c>
      <c r="J430" s="45" t="s">
        <v>18</v>
      </c>
      <c r="K430" s="88"/>
    </row>
    <row r="431" spans="1:11" x14ac:dyDescent="0.2">
      <c r="A431" s="83">
        <v>493</v>
      </c>
      <c r="B431" s="83" t="s">
        <v>119</v>
      </c>
      <c r="C431" s="83" t="s">
        <v>114</v>
      </c>
      <c r="D431" s="84" t="s">
        <v>182</v>
      </c>
      <c r="E431" s="85" t="s">
        <v>129</v>
      </c>
      <c r="F431" s="86">
        <f t="shared" si="4"/>
        <v>6.24</v>
      </c>
      <c r="G431" s="45" t="s">
        <v>132</v>
      </c>
      <c r="H431" s="45" t="s">
        <v>103</v>
      </c>
      <c r="I431" s="45" t="s">
        <v>94</v>
      </c>
      <c r="J431" s="45" t="s">
        <v>18</v>
      </c>
      <c r="K431" s="88"/>
    </row>
    <row r="432" spans="1:11" x14ac:dyDescent="0.2">
      <c r="A432" s="82">
        <v>524</v>
      </c>
      <c r="B432" s="83" t="s">
        <v>120</v>
      </c>
      <c r="C432" s="83" t="s">
        <v>112</v>
      </c>
      <c r="D432" s="84" t="s">
        <v>183</v>
      </c>
      <c r="E432" s="85" t="s">
        <v>129</v>
      </c>
      <c r="F432" s="86">
        <f t="shared" si="4"/>
        <v>6.24</v>
      </c>
      <c r="G432" s="45" t="s">
        <v>132</v>
      </c>
      <c r="H432" s="45" t="s">
        <v>103</v>
      </c>
      <c r="I432" s="45" t="s">
        <v>46</v>
      </c>
      <c r="J432" s="45" t="s">
        <v>18</v>
      </c>
      <c r="K432" s="99"/>
    </row>
    <row r="433" spans="1:11" x14ac:dyDescent="0.2">
      <c r="A433" s="82">
        <v>525</v>
      </c>
      <c r="B433" s="83" t="s">
        <v>120</v>
      </c>
      <c r="C433" s="83" t="s">
        <v>112</v>
      </c>
      <c r="D433" s="84" t="s">
        <v>184</v>
      </c>
      <c r="E433" s="85" t="s">
        <v>129</v>
      </c>
      <c r="F433" s="86">
        <f t="shared" si="4"/>
        <v>6.24</v>
      </c>
      <c r="G433" s="45" t="s">
        <v>132</v>
      </c>
      <c r="H433" s="45" t="s">
        <v>103</v>
      </c>
      <c r="I433" s="45" t="s">
        <v>94</v>
      </c>
      <c r="J433" s="45" t="s">
        <v>18</v>
      </c>
      <c r="K433" s="99"/>
    </row>
    <row r="434" spans="1:11" x14ac:dyDescent="0.2">
      <c r="A434" s="83">
        <v>526</v>
      </c>
      <c r="B434" s="83" t="s">
        <v>120</v>
      </c>
      <c r="C434" s="83" t="s">
        <v>112</v>
      </c>
      <c r="D434" s="84" t="s">
        <v>185</v>
      </c>
      <c r="E434" s="85" t="s">
        <v>129</v>
      </c>
      <c r="F434" s="86">
        <f t="shared" si="4"/>
        <v>6.24</v>
      </c>
      <c r="G434" s="45" t="s">
        <v>132</v>
      </c>
      <c r="H434" s="45" t="s">
        <v>103</v>
      </c>
      <c r="I434" s="45" t="s">
        <v>46</v>
      </c>
      <c r="J434" s="45" t="s">
        <v>18</v>
      </c>
      <c r="K434" s="99"/>
    </row>
    <row r="435" spans="1:11" x14ac:dyDescent="0.2">
      <c r="A435" s="82">
        <v>527</v>
      </c>
      <c r="B435" s="83" t="s">
        <v>120</v>
      </c>
      <c r="C435" s="83" t="s">
        <v>112</v>
      </c>
      <c r="D435" s="84" t="s">
        <v>186</v>
      </c>
      <c r="E435" s="85" t="s">
        <v>129</v>
      </c>
      <c r="F435" s="86">
        <f t="shared" si="4"/>
        <v>6.24</v>
      </c>
      <c r="G435" s="45" t="s">
        <v>132</v>
      </c>
      <c r="H435" s="45" t="s">
        <v>103</v>
      </c>
      <c r="I435" s="45" t="s">
        <v>46</v>
      </c>
      <c r="J435" s="45" t="s">
        <v>18</v>
      </c>
      <c r="K435" s="99"/>
    </row>
    <row r="436" spans="1:11" x14ac:dyDescent="0.2">
      <c r="A436" s="82">
        <v>528</v>
      </c>
      <c r="B436" s="83" t="s">
        <v>120</v>
      </c>
      <c r="C436" s="83" t="s">
        <v>112</v>
      </c>
      <c r="D436" s="84" t="s">
        <v>187</v>
      </c>
      <c r="E436" s="85" t="s">
        <v>129</v>
      </c>
      <c r="F436" s="86">
        <f t="shared" si="4"/>
        <v>6.24</v>
      </c>
      <c r="G436" s="45" t="s">
        <v>132</v>
      </c>
      <c r="H436" s="45" t="s">
        <v>103</v>
      </c>
      <c r="I436" s="45" t="s">
        <v>94</v>
      </c>
      <c r="J436" s="45" t="s">
        <v>18</v>
      </c>
      <c r="K436" s="99"/>
    </row>
    <row r="437" spans="1:11" x14ac:dyDescent="0.2">
      <c r="A437" s="83">
        <v>529</v>
      </c>
      <c r="B437" s="83" t="s">
        <v>120</v>
      </c>
      <c r="C437" s="83" t="s">
        <v>112</v>
      </c>
      <c r="D437" s="84" t="s">
        <v>188</v>
      </c>
      <c r="E437" s="85" t="s">
        <v>129</v>
      </c>
      <c r="F437" s="86">
        <f t="shared" si="4"/>
        <v>6.24</v>
      </c>
      <c r="G437" s="45" t="s">
        <v>132</v>
      </c>
      <c r="H437" s="45" t="s">
        <v>103</v>
      </c>
      <c r="I437" s="45" t="s">
        <v>46</v>
      </c>
      <c r="J437" s="45" t="s">
        <v>18</v>
      </c>
      <c r="K437" s="99"/>
    </row>
    <row r="438" spans="1:11" x14ac:dyDescent="0.2">
      <c r="A438" s="82">
        <v>530</v>
      </c>
      <c r="B438" s="83" t="s">
        <v>120</v>
      </c>
      <c r="C438" s="83" t="s">
        <v>112</v>
      </c>
      <c r="D438" s="84" t="s">
        <v>189</v>
      </c>
      <c r="E438" s="85" t="s">
        <v>129</v>
      </c>
      <c r="F438" s="86">
        <f t="shared" si="4"/>
        <v>6.24</v>
      </c>
      <c r="G438" s="45" t="s">
        <v>132</v>
      </c>
      <c r="H438" s="45" t="s">
        <v>103</v>
      </c>
      <c r="I438" s="45" t="s">
        <v>94</v>
      </c>
      <c r="J438" s="45" t="s">
        <v>18</v>
      </c>
      <c r="K438" s="99"/>
    </row>
    <row r="439" spans="1:11" x14ac:dyDescent="0.2">
      <c r="A439" s="82">
        <v>531</v>
      </c>
      <c r="B439" s="83" t="s">
        <v>120</v>
      </c>
      <c r="C439" s="83" t="s">
        <v>112</v>
      </c>
      <c r="D439" s="84" t="s">
        <v>190</v>
      </c>
      <c r="E439" s="85" t="s">
        <v>129</v>
      </c>
      <c r="F439" s="86">
        <f t="shared" si="4"/>
        <v>6.24</v>
      </c>
      <c r="G439" s="45" t="s">
        <v>132</v>
      </c>
      <c r="H439" s="45" t="s">
        <v>103</v>
      </c>
      <c r="I439" s="45" t="s">
        <v>94</v>
      </c>
      <c r="J439" s="45" t="s">
        <v>18</v>
      </c>
      <c r="K439" s="99"/>
    </row>
    <row r="440" spans="1:11" x14ac:dyDescent="0.2">
      <c r="A440" s="83">
        <v>532</v>
      </c>
      <c r="B440" s="83" t="s">
        <v>120</v>
      </c>
      <c r="C440" s="83" t="s">
        <v>112</v>
      </c>
      <c r="D440" s="84" t="s">
        <v>191</v>
      </c>
      <c r="E440" s="85" t="s">
        <v>129</v>
      </c>
      <c r="F440" s="86">
        <f t="shared" si="4"/>
        <v>6.24</v>
      </c>
      <c r="G440" s="45" t="s">
        <v>132</v>
      </c>
      <c r="H440" s="45" t="s">
        <v>103</v>
      </c>
      <c r="I440" s="45" t="s">
        <v>94</v>
      </c>
      <c r="J440" s="45" t="s">
        <v>18</v>
      </c>
      <c r="K440" s="99"/>
    </row>
    <row r="441" spans="1:11" x14ac:dyDescent="0.2">
      <c r="A441" s="82">
        <v>563</v>
      </c>
      <c r="B441" s="83" t="s">
        <v>120</v>
      </c>
      <c r="C441" s="83" t="s">
        <v>113</v>
      </c>
      <c r="D441" s="84" t="s">
        <v>192</v>
      </c>
      <c r="E441" s="85" t="s">
        <v>176</v>
      </c>
      <c r="F441" s="86">
        <f t="shared" si="4"/>
        <v>6.24</v>
      </c>
      <c r="G441" s="87">
        <v>2400.2669999999998</v>
      </c>
      <c r="H441" s="45" t="s">
        <v>103</v>
      </c>
      <c r="I441" s="45" t="s">
        <v>46</v>
      </c>
      <c r="J441" s="45" t="s">
        <v>18</v>
      </c>
      <c r="K441" s="88"/>
    </row>
    <row r="442" spans="1:11" x14ac:dyDescent="0.2">
      <c r="A442" s="82">
        <v>564</v>
      </c>
      <c r="B442" s="83" t="s">
        <v>120</v>
      </c>
      <c r="C442" s="83" t="s">
        <v>113</v>
      </c>
      <c r="D442" s="84" t="s">
        <v>193</v>
      </c>
      <c r="E442" s="85" t="s">
        <v>176</v>
      </c>
      <c r="F442" s="86">
        <f t="shared" si="4"/>
        <v>6.24</v>
      </c>
      <c r="G442" s="87">
        <v>2400.2669999999998</v>
      </c>
      <c r="H442" s="45" t="s">
        <v>103</v>
      </c>
      <c r="I442" s="45" t="s">
        <v>94</v>
      </c>
      <c r="J442" s="45" t="s">
        <v>18</v>
      </c>
      <c r="K442" s="88"/>
    </row>
    <row r="443" spans="1:11" x14ac:dyDescent="0.2">
      <c r="A443" s="83">
        <v>565</v>
      </c>
      <c r="B443" s="83" t="s">
        <v>120</v>
      </c>
      <c r="C443" s="83" t="s">
        <v>113</v>
      </c>
      <c r="D443" s="84" t="s">
        <v>194</v>
      </c>
      <c r="E443" s="85" t="s">
        <v>176</v>
      </c>
      <c r="F443" s="86">
        <f t="shared" si="4"/>
        <v>6.24</v>
      </c>
      <c r="G443" s="87">
        <v>2400.2669999999998</v>
      </c>
      <c r="H443" s="45" t="s">
        <v>103</v>
      </c>
      <c r="I443" s="45" t="s">
        <v>46</v>
      </c>
      <c r="J443" s="45" t="s">
        <v>18</v>
      </c>
      <c r="K443" s="88"/>
    </row>
    <row r="444" spans="1:11" x14ac:dyDescent="0.2">
      <c r="A444" s="82">
        <v>566</v>
      </c>
      <c r="B444" s="83" t="s">
        <v>120</v>
      </c>
      <c r="C444" s="83" t="s">
        <v>113</v>
      </c>
      <c r="D444" s="84" t="s">
        <v>195</v>
      </c>
      <c r="E444" s="85" t="s">
        <v>176</v>
      </c>
      <c r="F444" s="86">
        <f t="shared" si="4"/>
        <v>6.24</v>
      </c>
      <c r="G444" s="87">
        <v>2400.2669999999998</v>
      </c>
      <c r="H444" s="45" t="s">
        <v>103</v>
      </c>
      <c r="I444" s="45" t="s">
        <v>46</v>
      </c>
      <c r="J444" s="45" t="s">
        <v>18</v>
      </c>
      <c r="K444" s="88"/>
    </row>
    <row r="445" spans="1:11" x14ac:dyDescent="0.2">
      <c r="A445" s="82">
        <v>567</v>
      </c>
      <c r="B445" s="83" t="s">
        <v>120</v>
      </c>
      <c r="C445" s="83" t="s">
        <v>113</v>
      </c>
      <c r="D445" s="84" t="s">
        <v>196</v>
      </c>
      <c r="E445" s="85" t="s">
        <v>176</v>
      </c>
      <c r="F445" s="86">
        <f t="shared" si="4"/>
        <v>6.24</v>
      </c>
      <c r="G445" s="87">
        <v>2400.2669999999998</v>
      </c>
      <c r="H445" s="45" t="s">
        <v>103</v>
      </c>
      <c r="I445" s="45" t="s">
        <v>94</v>
      </c>
      <c r="J445" s="45" t="s">
        <v>18</v>
      </c>
      <c r="K445" s="88"/>
    </row>
    <row r="446" spans="1:11" x14ac:dyDescent="0.2">
      <c r="A446" s="83">
        <v>568</v>
      </c>
      <c r="B446" s="83" t="s">
        <v>120</v>
      </c>
      <c r="C446" s="83" t="s">
        <v>113</v>
      </c>
      <c r="D446" s="84" t="s">
        <v>197</v>
      </c>
      <c r="E446" s="85" t="s">
        <v>176</v>
      </c>
      <c r="F446" s="86">
        <f t="shared" si="4"/>
        <v>6.24</v>
      </c>
      <c r="G446" s="87">
        <v>2400.2669999999998</v>
      </c>
      <c r="H446" s="45" t="s">
        <v>103</v>
      </c>
      <c r="I446" s="45" t="s">
        <v>46</v>
      </c>
      <c r="J446" s="45" t="s">
        <v>18</v>
      </c>
      <c r="K446" s="88"/>
    </row>
    <row r="447" spans="1:11" x14ac:dyDescent="0.2">
      <c r="A447" s="82">
        <v>569</v>
      </c>
      <c r="B447" s="83" t="s">
        <v>120</v>
      </c>
      <c r="C447" s="83" t="s">
        <v>113</v>
      </c>
      <c r="D447" s="84" t="s">
        <v>198</v>
      </c>
      <c r="E447" s="85" t="s">
        <v>176</v>
      </c>
      <c r="F447" s="86">
        <f t="shared" si="4"/>
        <v>6.24</v>
      </c>
      <c r="G447" s="87">
        <v>2400.2669999999998</v>
      </c>
      <c r="H447" s="45" t="s">
        <v>103</v>
      </c>
      <c r="I447" s="45" t="s">
        <v>94</v>
      </c>
      <c r="J447" s="45" t="s">
        <v>18</v>
      </c>
      <c r="K447" s="88"/>
    </row>
    <row r="448" spans="1:11" x14ac:dyDescent="0.2">
      <c r="A448" s="82">
        <v>570</v>
      </c>
      <c r="B448" s="83" t="s">
        <v>120</v>
      </c>
      <c r="C448" s="83" t="s">
        <v>113</v>
      </c>
      <c r="D448" s="84" t="s">
        <v>199</v>
      </c>
      <c r="E448" s="85" t="s">
        <v>176</v>
      </c>
      <c r="F448" s="86">
        <f t="shared" ref="F448:F458" si="5">2.4*2.6</f>
        <v>6.24</v>
      </c>
      <c r="G448" s="87">
        <v>2400.2669999999998</v>
      </c>
      <c r="H448" s="45" t="s">
        <v>103</v>
      </c>
      <c r="I448" s="45" t="s">
        <v>94</v>
      </c>
      <c r="J448" s="45" t="s">
        <v>18</v>
      </c>
      <c r="K448" s="88"/>
    </row>
    <row r="449" spans="1:11" x14ac:dyDescent="0.2">
      <c r="A449" s="83">
        <v>571</v>
      </c>
      <c r="B449" s="83" t="s">
        <v>120</v>
      </c>
      <c r="C449" s="83" t="s">
        <v>113</v>
      </c>
      <c r="D449" s="84" t="s">
        <v>200</v>
      </c>
      <c r="E449" s="85" t="s">
        <v>176</v>
      </c>
      <c r="F449" s="86">
        <f t="shared" si="5"/>
        <v>6.24</v>
      </c>
      <c r="G449" s="87">
        <v>2400.2669999999998</v>
      </c>
      <c r="H449" s="45" t="s">
        <v>103</v>
      </c>
      <c r="I449" s="45" t="s">
        <v>46</v>
      </c>
      <c r="J449" s="45" t="s">
        <v>18</v>
      </c>
      <c r="K449" s="88"/>
    </row>
    <row r="450" spans="1:11" x14ac:dyDescent="0.2">
      <c r="A450" s="82">
        <v>602</v>
      </c>
      <c r="B450" s="83" t="s">
        <v>120</v>
      </c>
      <c r="C450" s="83" t="s">
        <v>114</v>
      </c>
      <c r="D450" s="84" t="s">
        <v>201</v>
      </c>
      <c r="E450" s="85" t="s">
        <v>176</v>
      </c>
      <c r="F450" s="86">
        <f t="shared" si="5"/>
        <v>6.24</v>
      </c>
      <c r="G450" s="45" t="s">
        <v>132</v>
      </c>
      <c r="H450" s="45" t="s">
        <v>103</v>
      </c>
      <c r="I450" s="45" t="s">
        <v>94</v>
      </c>
      <c r="J450" s="45" t="s">
        <v>18</v>
      </c>
      <c r="K450" s="88"/>
    </row>
    <row r="451" spans="1:11" x14ac:dyDescent="0.2">
      <c r="A451" s="82">
        <v>603</v>
      </c>
      <c r="B451" s="83" t="s">
        <v>120</v>
      </c>
      <c r="C451" s="83" t="s">
        <v>114</v>
      </c>
      <c r="D451" s="84" t="s">
        <v>202</v>
      </c>
      <c r="E451" s="85" t="s">
        <v>176</v>
      </c>
      <c r="F451" s="86">
        <f t="shared" si="5"/>
        <v>6.24</v>
      </c>
      <c r="G451" s="45" t="s">
        <v>132</v>
      </c>
      <c r="H451" s="45" t="s">
        <v>103</v>
      </c>
      <c r="I451" s="45" t="s">
        <v>46</v>
      </c>
      <c r="J451" s="45" t="s">
        <v>18</v>
      </c>
      <c r="K451" s="88"/>
    </row>
    <row r="452" spans="1:11" x14ac:dyDescent="0.2">
      <c r="A452" s="83">
        <v>604</v>
      </c>
      <c r="B452" s="83" t="s">
        <v>120</v>
      </c>
      <c r="C452" s="83" t="s">
        <v>114</v>
      </c>
      <c r="D452" s="84" t="s">
        <v>203</v>
      </c>
      <c r="E452" s="85" t="s">
        <v>176</v>
      </c>
      <c r="F452" s="86">
        <f t="shared" si="5"/>
        <v>6.24</v>
      </c>
      <c r="G452" s="45" t="s">
        <v>132</v>
      </c>
      <c r="H452" s="45" t="s">
        <v>103</v>
      </c>
      <c r="I452" s="45" t="s">
        <v>94</v>
      </c>
      <c r="J452" s="45" t="s">
        <v>18</v>
      </c>
      <c r="K452" s="88"/>
    </row>
    <row r="453" spans="1:11" x14ac:dyDescent="0.2">
      <c r="A453" s="82">
        <v>605</v>
      </c>
      <c r="B453" s="83" t="s">
        <v>120</v>
      </c>
      <c r="C453" s="83" t="s">
        <v>114</v>
      </c>
      <c r="D453" s="84" t="s">
        <v>204</v>
      </c>
      <c r="E453" s="85" t="s">
        <v>176</v>
      </c>
      <c r="F453" s="86">
        <f t="shared" si="5"/>
        <v>6.24</v>
      </c>
      <c r="G453" s="45" t="s">
        <v>132</v>
      </c>
      <c r="H453" s="45" t="s">
        <v>103</v>
      </c>
      <c r="I453" s="45" t="s">
        <v>46</v>
      </c>
      <c r="J453" s="45" t="s">
        <v>18</v>
      </c>
      <c r="K453" s="88"/>
    </row>
    <row r="454" spans="1:11" x14ac:dyDescent="0.2">
      <c r="A454" s="82">
        <v>606</v>
      </c>
      <c r="B454" s="83" t="s">
        <v>120</v>
      </c>
      <c r="C454" s="83" t="s">
        <v>114</v>
      </c>
      <c r="D454" s="89" t="s">
        <v>205</v>
      </c>
      <c r="E454" s="90" t="s">
        <v>176</v>
      </c>
      <c r="F454" s="86">
        <f t="shared" si="5"/>
        <v>6.24</v>
      </c>
      <c r="G454" s="92" t="s">
        <v>132</v>
      </c>
      <c r="H454" s="92" t="s">
        <v>103</v>
      </c>
      <c r="I454" s="92" t="s">
        <v>46</v>
      </c>
      <c r="J454" s="45" t="s">
        <v>18</v>
      </c>
      <c r="K454" s="100"/>
    </row>
    <row r="455" spans="1:11" x14ac:dyDescent="0.2">
      <c r="A455" s="83">
        <v>607</v>
      </c>
      <c r="B455" s="83" t="s">
        <v>120</v>
      </c>
      <c r="C455" s="83" t="s">
        <v>114</v>
      </c>
      <c r="D455" s="84" t="s">
        <v>206</v>
      </c>
      <c r="E455" s="85" t="s">
        <v>176</v>
      </c>
      <c r="F455" s="86">
        <f t="shared" si="5"/>
        <v>6.24</v>
      </c>
      <c r="G455" s="45" t="s">
        <v>132</v>
      </c>
      <c r="H455" s="45" t="s">
        <v>103</v>
      </c>
      <c r="I455" s="45" t="s">
        <v>94</v>
      </c>
      <c r="J455" s="45" t="s">
        <v>18</v>
      </c>
      <c r="K455" s="88"/>
    </row>
    <row r="456" spans="1:11" x14ac:dyDescent="0.2">
      <c r="A456" s="82">
        <v>608</v>
      </c>
      <c r="B456" s="83" t="s">
        <v>120</v>
      </c>
      <c r="C456" s="83" t="s">
        <v>114</v>
      </c>
      <c r="D456" s="84" t="s">
        <v>207</v>
      </c>
      <c r="E456" s="85" t="s">
        <v>176</v>
      </c>
      <c r="F456" s="86">
        <f t="shared" si="5"/>
        <v>6.24</v>
      </c>
      <c r="G456" s="45" t="s">
        <v>132</v>
      </c>
      <c r="H456" s="45" t="s">
        <v>103</v>
      </c>
      <c r="I456" s="45" t="s">
        <v>46</v>
      </c>
      <c r="J456" s="45" t="s">
        <v>18</v>
      </c>
      <c r="K456" s="88"/>
    </row>
    <row r="457" spans="1:11" x14ac:dyDescent="0.2">
      <c r="A457" s="82">
        <v>609</v>
      </c>
      <c r="B457" s="83" t="s">
        <v>120</v>
      </c>
      <c r="C457" s="83" t="s">
        <v>114</v>
      </c>
      <c r="D457" s="84" t="s">
        <v>208</v>
      </c>
      <c r="E457" s="85" t="s">
        <v>176</v>
      </c>
      <c r="F457" s="86">
        <f t="shared" si="5"/>
        <v>6.24</v>
      </c>
      <c r="G457" s="45" t="s">
        <v>132</v>
      </c>
      <c r="H457" s="45" t="s">
        <v>103</v>
      </c>
      <c r="I457" s="45" t="s">
        <v>94</v>
      </c>
      <c r="J457" s="45" t="s">
        <v>18</v>
      </c>
      <c r="K457" s="88"/>
    </row>
    <row r="458" spans="1:11" x14ac:dyDescent="0.2">
      <c r="A458" s="83">
        <v>610</v>
      </c>
      <c r="B458" s="83" t="s">
        <v>120</v>
      </c>
      <c r="C458" s="83" t="s">
        <v>114</v>
      </c>
      <c r="D458" s="84" t="s">
        <v>209</v>
      </c>
      <c r="E458" s="85" t="s">
        <v>176</v>
      </c>
      <c r="F458" s="86">
        <f t="shared" si="5"/>
        <v>6.24</v>
      </c>
      <c r="G458" s="45" t="s">
        <v>132</v>
      </c>
      <c r="H458" s="45" t="s">
        <v>103</v>
      </c>
      <c r="I458" s="45" t="s">
        <v>94</v>
      </c>
      <c r="J458" s="45" t="s">
        <v>18</v>
      </c>
      <c r="K458" s="88"/>
    </row>
    <row r="459" spans="1:11" x14ac:dyDescent="0.2">
      <c r="A459" s="5">
        <v>26</v>
      </c>
      <c r="B459" s="6" t="s">
        <v>111</v>
      </c>
      <c r="C459" s="6" t="s">
        <v>112</v>
      </c>
      <c r="D459" s="42" t="s">
        <v>934</v>
      </c>
      <c r="E459" s="38" t="s">
        <v>935</v>
      </c>
      <c r="F459" s="49">
        <v>4.8</v>
      </c>
      <c r="G459" s="63">
        <v>2300</v>
      </c>
      <c r="H459" s="36" t="s">
        <v>604</v>
      </c>
      <c r="I459" s="36" t="s">
        <v>10</v>
      </c>
      <c r="J459" s="36" t="s">
        <v>767</v>
      </c>
      <c r="K459" s="46"/>
    </row>
    <row r="460" spans="1:11" x14ac:dyDescent="0.2">
      <c r="A460" s="5">
        <v>30</v>
      </c>
      <c r="B460" s="6" t="s">
        <v>111</v>
      </c>
      <c r="C460" s="6" t="s">
        <v>112</v>
      </c>
      <c r="D460" s="42" t="s">
        <v>942</v>
      </c>
      <c r="E460" s="38" t="s">
        <v>943</v>
      </c>
      <c r="F460" s="49">
        <v>3.5</v>
      </c>
      <c r="G460" s="63">
        <v>2300</v>
      </c>
      <c r="H460" s="36" t="s">
        <v>604</v>
      </c>
      <c r="I460" s="36" t="s">
        <v>10</v>
      </c>
      <c r="J460" s="36" t="s">
        <v>767</v>
      </c>
      <c r="K460" s="46"/>
    </row>
    <row r="461" spans="1:11" x14ac:dyDescent="0.2">
      <c r="A461" s="5">
        <v>57</v>
      </c>
      <c r="B461" s="6" t="s">
        <v>111</v>
      </c>
      <c r="C461" s="6" t="s">
        <v>113</v>
      </c>
      <c r="D461" s="42" t="s">
        <v>712</v>
      </c>
      <c r="E461" s="73" t="s">
        <v>16</v>
      </c>
      <c r="F461" s="49">
        <v>30</v>
      </c>
      <c r="G461" s="63">
        <v>2400</v>
      </c>
      <c r="H461" s="36" t="s">
        <v>603</v>
      </c>
      <c r="I461" s="36" t="s">
        <v>17</v>
      </c>
      <c r="J461" s="74" t="s">
        <v>18</v>
      </c>
      <c r="K461" s="44"/>
    </row>
    <row r="462" spans="1:11" x14ac:dyDescent="0.2">
      <c r="A462" s="6">
        <v>58</v>
      </c>
      <c r="B462" s="6" t="s">
        <v>111</v>
      </c>
      <c r="C462" s="6" t="s">
        <v>113</v>
      </c>
      <c r="D462" s="42" t="s">
        <v>713</v>
      </c>
      <c r="E462" s="73" t="s">
        <v>19</v>
      </c>
      <c r="F462" s="49">
        <v>42.85</v>
      </c>
      <c r="G462" s="63">
        <v>2400</v>
      </c>
      <c r="H462" s="36" t="s">
        <v>603</v>
      </c>
      <c r="I462" s="36" t="s">
        <v>17</v>
      </c>
      <c r="J462" s="74" t="s">
        <v>18</v>
      </c>
      <c r="K462" s="44"/>
    </row>
    <row r="463" spans="1:11" x14ac:dyDescent="0.2">
      <c r="A463" s="5">
        <v>66</v>
      </c>
      <c r="B463" s="6" t="s">
        <v>111</v>
      </c>
      <c r="C463" s="6" t="s">
        <v>113</v>
      </c>
      <c r="D463" s="42" t="s">
        <v>950</v>
      </c>
      <c r="E463" s="38" t="s">
        <v>943</v>
      </c>
      <c r="F463" s="49">
        <v>2.6</v>
      </c>
      <c r="G463" s="63">
        <v>2400</v>
      </c>
      <c r="H463" s="36" t="s">
        <v>604</v>
      </c>
      <c r="I463" s="36" t="s">
        <v>10</v>
      </c>
      <c r="J463" s="36" t="s">
        <v>767</v>
      </c>
      <c r="K463" s="46"/>
    </row>
    <row r="464" spans="1:11" x14ac:dyDescent="0.2">
      <c r="A464" s="6">
        <v>70</v>
      </c>
      <c r="B464" s="6" t="s">
        <v>111</v>
      </c>
      <c r="C464" s="6" t="s">
        <v>113</v>
      </c>
      <c r="D464" s="42" t="s">
        <v>954</v>
      </c>
      <c r="E464" s="38" t="s">
        <v>935</v>
      </c>
      <c r="F464" s="49">
        <v>3.4</v>
      </c>
      <c r="G464" s="63">
        <v>2400</v>
      </c>
      <c r="H464" s="36" t="s">
        <v>604</v>
      </c>
      <c r="I464" s="36" t="s">
        <v>10</v>
      </c>
      <c r="J464" s="36" t="s">
        <v>767</v>
      </c>
      <c r="K464" s="46"/>
    </row>
    <row r="465" spans="1:11" x14ac:dyDescent="0.2">
      <c r="A465" s="6">
        <v>91</v>
      </c>
      <c r="B465" s="6" t="s">
        <v>111</v>
      </c>
      <c r="C465" s="6" t="s">
        <v>114</v>
      </c>
      <c r="D465" s="42" t="s">
        <v>958</v>
      </c>
      <c r="E465" s="38" t="s">
        <v>943</v>
      </c>
      <c r="F465" s="49">
        <v>5.75</v>
      </c>
      <c r="G465" s="63">
        <v>2400</v>
      </c>
      <c r="H465" s="36" t="s">
        <v>604</v>
      </c>
      <c r="I465" s="36" t="s">
        <v>10</v>
      </c>
      <c r="J465" s="36" t="s">
        <v>767</v>
      </c>
      <c r="K465" s="46"/>
    </row>
    <row r="466" spans="1:11" x14ac:dyDescent="0.2">
      <c r="A466" s="5">
        <v>95</v>
      </c>
      <c r="B466" s="6" t="s">
        <v>111</v>
      </c>
      <c r="C466" s="6" t="s">
        <v>114</v>
      </c>
      <c r="D466" s="42" t="s">
        <v>963</v>
      </c>
      <c r="E466" s="38" t="s">
        <v>935</v>
      </c>
      <c r="F466" s="49">
        <v>5.4</v>
      </c>
      <c r="G466" s="63">
        <v>2400</v>
      </c>
      <c r="H466" s="36" t="s">
        <v>604</v>
      </c>
      <c r="I466" s="36" t="s">
        <v>10</v>
      </c>
      <c r="J466" s="36" t="s">
        <v>767</v>
      </c>
      <c r="K466" s="46"/>
    </row>
    <row r="467" spans="1:11" x14ac:dyDescent="0.2">
      <c r="A467" s="5">
        <v>99</v>
      </c>
      <c r="B467" s="6" t="s">
        <v>111</v>
      </c>
      <c r="C467" s="6" t="s">
        <v>114</v>
      </c>
      <c r="D467" s="42" t="s">
        <v>968</v>
      </c>
      <c r="E467" s="38" t="s">
        <v>969</v>
      </c>
      <c r="F467" s="49">
        <v>2.5</v>
      </c>
      <c r="G467" s="63">
        <v>2400</v>
      </c>
      <c r="H467" s="36" t="s">
        <v>604</v>
      </c>
      <c r="I467" s="36" t="s">
        <v>10</v>
      </c>
      <c r="J467" s="36" t="s">
        <v>767</v>
      </c>
      <c r="K467" s="46"/>
    </row>
    <row r="468" spans="1:11" x14ac:dyDescent="0.2">
      <c r="A468" s="6">
        <v>127</v>
      </c>
      <c r="B468" s="6" t="s">
        <v>116</v>
      </c>
      <c r="C468" s="6" t="s">
        <v>112</v>
      </c>
      <c r="D468" s="37" t="s">
        <v>1057</v>
      </c>
      <c r="E468" s="38" t="s">
        <v>1058</v>
      </c>
      <c r="F468" s="39">
        <v>12.05</v>
      </c>
      <c r="G468" s="78">
        <v>3000</v>
      </c>
      <c r="H468" s="36" t="s">
        <v>1056</v>
      </c>
      <c r="I468" s="36" t="s">
        <v>43</v>
      </c>
      <c r="J468" s="36" t="s">
        <v>778</v>
      </c>
      <c r="K468" s="79"/>
    </row>
    <row r="469" spans="1:11" x14ac:dyDescent="0.2">
      <c r="A469" s="5">
        <v>134</v>
      </c>
      <c r="B469" s="6" t="s">
        <v>116</v>
      </c>
      <c r="C469" s="6" t="s">
        <v>112</v>
      </c>
      <c r="D469" s="37" t="s">
        <v>1070</v>
      </c>
      <c r="E469" s="38" t="s">
        <v>1071</v>
      </c>
      <c r="F469" s="39">
        <v>5.15</v>
      </c>
      <c r="G469" s="78">
        <v>2400</v>
      </c>
      <c r="H469" s="36" t="s">
        <v>1056</v>
      </c>
      <c r="I469" s="36" t="s">
        <v>45</v>
      </c>
      <c r="J469" s="36" t="s">
        <v>778</v>
      </c>
      <c r="K469" s="79"/>
    </row>
    <row r="470" spans="1:11" x14ac:dyDescent="0.2">
      <c r="A470" s="5">
        <v>135</v>
      </c>
      <c r="B470" s="6" t="s">
        <v>116</v>
      </c>
      <c r="C470" s="6" t="s">
        <v>112</v>
      </c>
      <c r="D470" s="37" t="s">
        <v>1072</v>
      </c>
      <c r="E470" s="38" t="s">
        <v>1073</v>
      </c>
      <c r="F470" s="39">
        <v>5.15</v>
      </c>
      <c r="G470" s="78">
        <v>2400</v>
      </c>
      <c r="H470" s="36" t="s">
        <v>1056</v>
      </c>
      <c r="I470" s="36" t="s">
        <v>45</v>
      </c>
      <c r="J470" s="36" t="s">
        <v>778</v>
      </c>
      <c r="K470" s="79"/>
    </row>
    <row r="471" spans="1:11" x14ac:dyDescent="0.2">
      <c r="A471" s="5">
        <v>164</v>
      </c>
      <c r="B471" s="6" t="s">
        <v>116</v>
      </c>
      <c r="C471" s="6" t="s">
        <v>113</v>
      </c>
      <c r="D471" s="42" t="s">
        <v>1099</v>
      </c>
      <c r="E471" s="38" t="s">
        <v>1100</v>
      </c>
      <c r="F471" s="43">
        <v>4.4000000000000004</v>
      </c>
      <c r="G471" s="124">
        <v>2400</v>
      </c>
      <c r="H471" s="125" t="s">
        <v>57</v>
      </c>
      <c r="I471" s="36" t="s">
        <v>51</v>
      </c>
      <c r="J471" s="36" t="s">
        <v>1101</v>
      </c>
      <c r="K471" s="46"/>
    </row>
    <row r="472" spans="1:11" x14ac:dyDescent="0.2">
      <c r="A472" s="5">
        <v>167</v>
      </c>
      <c r="B472" s="6" t="s">
        <v>116</v>
      </c>
      <c r="C472" s="6" t="s">
        <v>113</v>
      </c>
      <c r="D472" s="42" t="s">
        <v>1106</v>
      </c>
      <c r="E472" s="38" t="s">
        <v>1107</v>
      </c>
      <c r="F472" s="43">
        <v>4.4000000000000004</v>
      </c>
      <c r="G472" s="124">
        <v>2400</v>
      </c>
      <c r="H472" s="125" t="s">
        <v>57</v>
      </c>
      <c r="I472" s="36" t="s">
        <v>52</v>
      </c>
      <c r="J472" s="36" t="s">
        <v>1101</v>
      </c>
      <c r="K472" s="46"/>
    </row>
    <row r="473" spans="1:11" x14ac:dyDescent="0.2">
      <c r="A473" s="5">
        <v>224</v>
      </c>
      <c r="B473" s="6" t="s">
        <v>116</v>
      </c>
      <c r="C473" s="6" t="s">
        <v>114</v>
      </c>
      <c r="D473" s="42" t="s">
        <v>1124</v>
      </c>
      <c r="E473" s="38" t="s">
        <v>1125</v>
      </c>
      <c r="F473" s="39">
        <v>3.1</v>
      </c>
      <c r="G473" s="78">
        <v>2610</v>
      </c>
      <c r="H473" s="36" t="s">
        <v>1123</v>
      </c>
      <c r="I473" s="36" t="s">
        <v>52</v>
      </c>
      <c r="J473" s="36" t="s">
        <v>778</v>
      </c>
      <c r="K473" s="46"/>
    </row>
    <row r="474" spans="1:11" ht="30" x14ac:dyDescent="0.2">
      <c r="A474" s="5">
        <v>252</v>
      </c>
      <c r="B474" s="6" t="s">
        <v>116</v>
      </c>
      <c r="C474" s="6" t="s">
        <v>117</v>
      </c>
      <c r="D474" s="42" t="s">
        <v>1052</v>
      </c>
      <c r="E474" s="76" t="s">
        <v>1053</v>
      </c>
      <c r="F474" s="39">
        <v>31.4</v>
      </c>
      <c r="G474" s="78">
        <v>3000</v>
      </c>
      <c r="H474" s="36" t="s">
        <v>606</v>
      </c>
      <c r="I474" s="36" t="s">
        <v>40</v>
      </c>
      <c r="J474" s="36" t="s">
        <v>778</v>
      </c>
      <c r="K474" s="79"/>
    </row>
    <row r="475" spans="1:11" x14ac:dyDescent="0.2">
      <c r="A475" s="6">
        <v>289</v>
      </c>
      <c r="B475" s="6" t="s">
        <v>118</v>
      </c>
      <c r="C475" s="6" t="s">
        <v>112</v>
      </c>
      <c r="D475" s="42" t="s">
        <v>764</v>
      </c>
      <c r="E475" s="38" t="s">
        <v>765</v>
      </c>
      <c r="F475" s="49">
        <v>20.8</v>
      </c>
      <c r="G475" s="81">
        <v>2400.2669999999998</v>
      </c>
      <c r="H475" s="36" t="s">
        <v>766</v>
      </c>
      <c r="I475" s="36" t="s">
        <v>91</v>
      </c>
      <c r="J475" s="36" t="s">
        <v>767</v>
      </c>
      <c r="K475" s="46"/>
    </row>
    <row r="476" spans="1:11" x14ac:dyDescent="0.2">
      <c r="A476" s="6">
        <v>328</v>
      </c>
      <c r="B476" s="6" t="s">
        <v>118</v>
      </c>
      <c r="C476" s="6" t="s">
        <v>113</v>
      </c>
      <c r="D476" s="42" t="s">
        <v>772</v>
      </c>
      <c r="E476" s="38" t="s">
        <v>765</v>
      </c>
      <c r="F476" s="49">
        <v>21.5</v>
      </c>
      <c r="G476" s="81">
        <v>2400.2669999999998</v>
      </c>
      <c r="H476" s="36" t="s">
        <v>766</v>
      </c>
      <c r="I476" s="36" t="s">
        <v>98</v>
      </c>
      <c r="J476" s="36" t="s">
        <v>767</v>
      </c>
      <c r="K476" s="101"/>
    </row>
    <row r="477" spans="1:11" x14ac:dyDescent="0.2">
      <c r="A477" s="5">
        <v>366</v>
      </c>
      <c r="B477" s="6" t="s">
        <v>118</v>
      </c>
      <c r="C477" s="6" t="s">
        <v>114</v>
      </c>
      <c r="D477" s="42" t="s">
        <v>775</v>
      </c>
      <c r="E477" s="38" t="s">
        <v>776</v>
      </c>
      <c r="F477" s="39">
        <v>20.3</v>
      </c>
      <c r="G477" s="80">
        <v>2400.2669999999998</v>
      </c>
      <c r="H477" s="36" t="s">
        <v>777</v>
      </c>
      <c r="I477" s="36" t="s">
        <v>101</v>
      </c>
      <c r="J477" s="36" t="s">
        <v>778</v>
      </c>
      <c r="K477" s="46"/>
    </row>
    <row r="478" spans="1:11" x14ac:dyDescent="0.2">
      <c r="A478" s="6">
        <v>400</v>
      </c>
      <c r="B478" s="6" t="s">
        <v>119</v>
      </c>
      <c r="C478" s="6" t="s">
        <v>112</v>
      </c>
      <c r="D478" s="42" t="s">
        <v>781</v>
      </c>
      <c r="E478" s="38" t="s">
        <v>782</v>
      </c>
      <c r="F478" s="39">
        <v>8.6999999999999993</v>
      </c>
      <c r="G478" s="78">
        <v>2670</v>
      </c>
      <c r="H478" s="36" t="s">
        <v>777</v>
      </c>
      <c r="I478" s="36" t="s">
        <v>101</v>
      </c>
      <c r="J478" s="36" t="s">
        <v>778</v>
      </c>
      <c r="K478" s="46"/>
    </row>
    <row r="479" spans="1:11" x14ac:dyDescent="0.2">
      <c r="A479" s="6">
        <v>439</v>
      </c>
      <c r="B479" s="6" t="s">
        <v>119</v>
      </c>
      <c r="C479" s="6" t="s">
        <v>113</v>
      </c>
      <c r="D479" s="42" t="s">
        <v>786</v>
      </c>
      <c r="E479" s="38" t="s">
        <v>787</v>
      </c>
      <c r="F479" s="52">
        <v>8.65</v>
      </c>
      <c r="G479" s="63">
        <v>2670</v>
      </c>
      <c r="H479" s="36" t="s">
        <v>766</v>
      </c>
      <c r="I479" s="36" t="s">
        <v>101</v>
      </c>
      <c r="J479" s="36" t="s">
        <v>767</v>
      </c>
      <c r="K479" s="46"/>
    </row>
    <row r="480" spans="1:11" x14ac:dyDescent="0.2">
      <c r="A480" s="5">
        <v>479</v>
      </c>
      <c r="B480" s="6" t="s">
        <v>119</v>
      </c>
      <c r="C480" s="6" t="s">
        <v>114</v>
      </c>
      <c r="D480" s="42" t="s">
        <v>931</v>
      </c>
      <c r="E480" s="38" t="s">
        <v>787</v>
      </c>
      <c r="F480" s="49">
        <v>8.65</v>
      </c>
      <c r="G480" s="63">
        <v>2670</v>
      </c>
      <c r="H480" s="36" t="s">
        <v>930</v>
      </c>
      <c r="I480" s="36" t="s">
        <v>101</v>
      </c>
      <c r="J480" s="36" t="s">
        <v>767</v>
      </c>
      <c r="K480" s="46"/>
    </row>
    <row r="481" spans="1:11" x14ac:dyDescent="0.2">
      <c r="A481" s="6">
        <v>517</v>
      </c>
      <c r="B481" s="6" t="s">
        <v>120</v>
      </c>
      <c r="C481" s="6" t="s">
        <v>112</v>
      </c>
      <c r="D481" s="42" t="s">
        <v>791</v>
      </c>
      <c r="E481" s="38" t="s">
        <v>765</v>
      </c>
      <c r="F481" s="49">
        <v>20.8</v>
      </c>
      <c r="G481" s="36" t="s">
        <v>792</v>
      </c>
      <c r="H481" s="36" t="s">
        <v>766</v>
      </c>
      <c r="I481" s="36" t="s">
        <v>91</v>
      </c>
      <c r="J481" s="36" t="s">
        <v>767</v>
      </c>
      <c r="K481" s="101"/>
    </row>
    <row r="482" spans="1:11" x14ac:dyDescent="0.2">
      <c r="A482" s="6">
        <v>556</v>
      </c>
      <c r="B482" s="6" t="s">
        <v>120</v>
      </c>
      <c r="C482" s="6" t="s">
        <v>113</v>
      </c>
      <c r="D482" s="42" t="s">
        <v>795</v>
      </c>
      <c r="E482" s="38" t="s">
        <v>765</v>
      </c>
      <c r="F482" s="49">
        <v>21.7</v>
      </c>
      <c r="G482" s="81">
        <v>2400.2669999999998</v>
      </c>
      <c r="H482" s="36" t="s">
        <v>766</v>
      </c>
      <c r="I482" s="36" t="s">
        <v>98</v>
      </c>
      <c r="J482" s="36" t="s">
        <v>767</v>
      </c>
      <c r="K482" s="46"/>
    </row>
    <row r="483" spans="1:11" x14ac:dyDescent="0.2">
      <c r="A483" s="6">
        <v>595</v>
      </c>
      <c r="B483" s="6" t="s">
        <v>120</v>
      </c>
      <c r="C483" s="6" t="s">
        <v>114</v>
      </c>
      <c r="D483" s="42" t="s">
        <v>798</v>
      </c>
      <c r="E483" s="38" t="s">
        <v>765</v>
      </c>
      <c r="F483" s="49">
        <v>20.3</v>
      </c>
      <c r="G483" s="63">
        <v>2670</v>
      </c>
      <c r="H483" s="36" t="s">
        <v>766</v>
      </c>
      <c r="I483" s="36" t="s">
        <v>101</v>
      </c>
      <c r="J483" s="36" t="s">
        <v>767</v>
      </c>
      <c r="K483" s="46"/>
    </row>
    <row r="484" spans="1:11" x14ac:dyDescent="0.2">
      <c r="A484" s="5">
        <v>6</v>
      </c>
      <c r="B484" s="6" t="s">
        <v>111</v>
      </c>
      <c r="C484" s="6" t="s">
        <v>112</v>
      </c>
      <c r="D484" s="42" t="s">
        <v>672</v>
      </c>
      <c r="E484" s="38" t="s">
        <v>673</v>
      </c>
      <c r="F484" s="50">
        <v>43.6</v>
      </c>
      <c r="G484" s="61" t="s">
        <v>13</v>
      </c>
      <c r="H484" s="36" t="s">
        <v>603</v>
      </c>
      <c r="I484" s="62" t="s">
        <v>15</v>
      </c>
      <c r="J484" s="36" t="s">
        <v>674</v>
      </c>
      <c r="K484" s="46"/>
    </row>
    <row r="485" spans="1:11" x14ac:dyDescent="0.2">
      <c r="A485" s="5">
        <v>50</v>
      </c>
      <c r="B485" s="6" t="s">
        <v>111</v>
      </c>
      <c r="C485" s="6" t="s">
        <v>113</v>
      </c>
      <c r="D485" s="42" t="s">
        <v>706</v>
      </c>
      <c r="E485" s="38" t="s">
        <v>673</v>
      </c>
      <c r="F485" s="49">
        <v>43.6</v>
      </c>
      <c r="G485" s="61" t="s">
        <v>13</v>
      </c>
      <c r="H485" s="36" t="s">
        <v>603</v>
      </c>
      <c r="I485" s="36" t="s">
        <v>15</v>
      </c>
      <c r="J485" s="36" t="s">
        <v>674</v>
      </c>
      <c r="K485" s="46"/>
    </row>
    <row r="486" spans="1:11" x14ac:dyDescent="0.2">
      <c r="A486" s="5">
        <v>80</v>
      </c>
      <c r="B486" s="6" t="s">
        <v>111</v>
      </c>
      <c r="C486" s="6" t="s">
        <v>114</v>
      </c>
      <c r="D486" s="42" t="s">
        <v>723</v>
      </c>
      <c r="E486" s="38" t="s">
        <v>673</v>
      </c>
      <c r="F486" s="75">
        <v>48.3</v>
      </c>
      <c r="G486" s="61" t="s">
        <v>24</v>
      </c>
      <c r="H486" s="36" t="s">
        <v>603</v>
      </c>
      <c r="I486" s="36" t="s">
        <v>25</v>
      </c>
      <c r="J486" s="36" t="s">
        <v>674</v>
      </c>
      <c r="K486" s="46"/>
    </row>
    <row r="487" spans="1:11" ht="30" x14ac:dyDescent="0.2">
      <c r="A487" s="83">
        <v>160</v>
      </c>
      <c r="B487" s="83" t="s">
        <v>116</v>
      </c>
      <c r="C487" s="83" t="s">
        <v>113</v>
      </c>
      <c r="D487" s="84" t="s">
        <v>210</v>
      </c>
      <c r="E487" s="85" t="s">
        <v>211</v>
      </c>
      <c r="F487" s="86">
        <v>25.9</v>
      </c>
      <c r="G487" s="45" t="s">
        <v>212</v>
      </c>
      <c r="H487" s="45" t="s">
        <v>213</v>
      </c>
      <c r="I487" s="45" t="s">
        <v>54</v>
      </c>
      <c r="J487" s="45" t="s">
        <v>32</v>
      </c>
      <c r="K487" s="88"/>
    </row>
    <row r="488" spans="1:11" x14ac:dyDescent="0.2">
      <c r="A488" s="6">
        <v>109</v>
      </c>
      <c r="B488" s="6" t="s">
        <v>116</v>
      </c>
      <c r="C488" s="6" t="s">
        <v>112</v>
      </c>
      <c r="D488" s="37" t="s">
        <v>1015</v>
      </c>
      <c r="E488" s="38" t="s">
        <v>1016</v>
      </c>
      <c r="F488" s="39">
        <v>57.35</v>
      </c>
      <c r="G488" s="80">
        <v>2610.3000000000002</v>
      </c>
      <c r="H488" s="36" t="s">
        <v>605</v>
      </c>
      <c r="I488" s="36" t="s">
        <v>28</v>
      </c>
      <c r="J488" s="36" t="s">
        <v>1017</v>
      </c>
      <c r="K488" s="79"/>
    </row>
    <row r="489" spans="1:11" x14ac:dyDescent="0.2">
      <c r="A489" s="6">
        <v>112</v>
      </c>
      <c r="B489" s="6" t="s">
        <v>116</v>
      </c>
      <c r="C489" s="6" t="s">
        <v>112</v>
      </c>
      <c r="D489" s="37" t="s">
        <v>1165</v>
      </c>
      <c r="E489" s="38" t="s">
        <v>1166</v>
      </c>
      <c r="F489" s="39">
        <v>15.9</v>
      </c>
      <c r="G489" s="78">
        <v>3000</v>
      </c>
      <c r="H489" s="48" t="s">
        <v>29</v>
      </c>
      <c r="I489" s="36" t="s">
        <v>30</v>
      </c>
      <c r="J489" s="36" t="s">
        <v>1017</v>
      </c>
      <c r="K489" s="79"/>
    </row>
    <row r="490" spans="1:11" ht="30" x14ac:dyDescent="0.2">
      <c r="A490" s="5">
        <v>113</v>
      </c>
      <c r="B490" s="6" t="s">
        <v>116</v>
      </c>
      <c r="C490" s="6" t="s">
        <v>112</v>
      </c>
      <c r="D490" s="119" t="s">
        <v>1324</v>
      </c>
      <c r="E490" s="65" t="s">
        <v>1325</v>
      </c>
      <c r="F490" s="120">
        <v>154.35</v>
      </c>
      <c r="G490" s="155">
        <v>2610.3000000000002</v>
      </c>
      <c r="H490" s="53" t="s">
        <v>1326</v>
      </c>
      <c r="I490" s="53" t="s">
        <v>31</v>
      </c>
      <c r="J490" s="156" t="s">
        <v>32</v>
      </c>
      <c r="K490" s="122" t="s">
        <v>33</v>
      </c>
    </row>
    <row r="491" spans="1:11" ht="30" x14ac:dyDescent="0.2">
      <c r="A491" s="6">
        <v>115</v>
      </c>
      <c r="B491" s="6" t="s">
        <v>116</v>
      </c>
      <c r="C491" s="6" t="s">
        <v>112</v>
      </c>
      <c r="D491" s="37" t="s">
        <v>1020</v>
      </c>
      <c r="E491" s="38" t="s">
        <v>1019</v>
      </c>
      <c r="F491" s="39">
        <v>46.9</v>
      </c>
      <c r="G491" s="78">
        <v>3000</v>
      </c>
      <c r="H491" s="36" t="s">
        <v>605</v>
      </c>
      <c r="I491" s="36" t="s">
        <v>36</v>
      </c>
      <c r="J491" s="36" t="s">
        <v>1017</v>
      </c>
      <c r="K491" s="79" t="s">
        <v>33</v>
      </c>
    </row>
    <row r="492" spans="1:11" x14ac:dyDescent="0.2">
      <c r="A492" s="5">
        <v>123</v>
      </c>
      <c r="B492" s="6" t="s">
        <v>116</v>
      </c>
      <c r="C492" s="6" t="s">
        <v>112</v>
      </c>
      <c r="D492" s="37" t="s">
        <v>1045</v>
      </c>
      <c r="E492" s="38" t="s">
        <v>1046</v>
      </c>
      <c r="F492" s="39">
        <v>61.8</v>
      </c>
      <c r="G492" s="78">
        <v>3000</v>
      </c>
      <c r="H492" s="36" t="s">
        <v>606</v>
      </c>
      <c r="I492" s="36" t="s">
        <v>41</v>
      </c>
      <c r="J492" s="48" t="s">
        <v>32</v>
      </c>
      <c r="K492" s="79"/>
    </row>
    <row r="493" spans="1:11" x14ac:dyDescent="0.2">
      <c r="A493" s="6">
        <v>148</v>
      </c>
      <c r="B493" s="6" t="s">
        <v>116</v>
      </c>
      <c r="C493" s="6" t="s">
        <v>113</v>
      </c>
      <c r="D493" s="42" t="s">
        <v>1021</v>
      </c>
      <c r="E493" s="38" t="s">
        <v>1022</v>
      </c>
      <c r="F493" s="43">
        <v>44.7</v>
      </c>
      <c r="G493" s="36" t="s">
        <v>1023</v>
      </c>
      <c r="H493" s="36" t="s">
        <v>1024</v>
      </c>
      <c r="I493" s="36" t="s">
        <v>48</v>
      </c>
      <c r="J493" s="36" t="s">
        <v>1025</v>
      </c>
      <c r="K493" s="46"/>
    </row>
    <row r="494" spans="1:11" x14ac:dyDescent="0.2">
      <c r="A494" s="5">
        <v>213</v>
      </c>
      <c r="B494" s="6" t="s">
        <v>116</v>
      </c>
      <c r="C494" s="6" t="s">
        <v>114</v>
      </c>
      <c r="D494" s="42" t="s">
        <v>1026</v>
      </c>
      <c r="E494" s="38" t="s">
        <v>1016</v>
      </c>
      <c r="F494" s="39">
        <v>43.5</v>
      </c>
      <c r="G494" s="36" t="s">
        <v>1027</v>
      </c>
      <c r="H494" s="36" t="s">
        <v>605</v>
      </c>
      <c r="I494" s="36" t="s">
        <v>28</v>
      </c>
      <c r="J494" s="36" t="s">
        <v>1017</v>
      </c>
      <c r="K494" s="46"/>
    </row>
    <row r="495" spans="1:11" x14ac:dyDescent="0.2">
      <c r="A495" s="6">
        <v>217</v>
      </c>
      <c r="B495" s="6" t="s">
        <v>116</v>
      </c>
      <c r="C495" s="6" t="s">
        <v>114</v>
      </c>
      <c r="D495" s="42" t="s">
        <v>1050</v>
      </c>
      <c r="E495" s="38" t="s">
        <v>1051</v>
      </c>
      <c r="F495" s="39">
        <v>45.85</v>
      </c>
      <c r="G495" s="78">
        <v>3000</v>
      </c>
      <c r="H495" s="36" t="s">
        <v>606</v>
      </c>
      <c r="I495" s="36" t="s">
        <v>40</v>
      </c>
      <c r="J495" s="48" t="s">
        <v>32</v>
      </c>
      <c r="K495" s="46"/>
    </row>
    <row r="496" spans="1:11" x14ac:dyDescent="0.2">
      <c r="A496" s="6">
        <v>235</v>
      </c>
      <c r="B496" s="6" t="s">
        <v>116</v>
      </c>
      <c r="C496" s="6" t="s">
        <v>117</v>
      </c>
      <c r="D496" s="42" t="s">
        <v>1170</v>
      </c>
      <c r="E496" s="38" t="s">
        <v>1166</v>
      </c>
      <c r="F496" s="39">
        <v>32.200000000000003</v>
      </c>
      <c r="G496" s="78">
        <v>3000</v>
      </c>
      <c r="H496" s="36" t="s">
        <v>1168</v>
      </c>
      <c r="I496" s="36" t="s">
        <v>72</v>
      </c>
      <c r="J496" s="36" t="s">
        <v>1017</v>
      </c>
      <c r="K496" s="79"/>
    </row>
    <row r="497" spans="1:11" x14ac:dyDescent="0.2">
      <c r="A497" s="5">
        <v>236</v>
      </c>
      <c r="B497" s="6" t="s">
        <v>116</v>
      </c>
      <c r="C497" s="6" t="s">
        <v>117</v>
      </c>
      <c r="D497" s="42" t="s">
        <v>1173</v>
      </c>
      <c r="E497" s="38" t="s">
        <v>1019</v>
      </c>
      <c r="F497" s="39">
        <v>24.1</v>
      </c>
      <c r="G497" s="78">
        <v>3000</v>
      </c>
      <c r="H497" s="36" t="s">
        <v>1327</v>
      </c>
      <c r="I497" s="36" t="s">
        <v>72</v>
      </c>
      <c r="J497" s="36" t="s">
        <v>1017</v>
      </c>
      <c r="K497" s="79"/>
    </row>
    <row r="498" spans="1:11" x14ac:dyDescent="0.2">
      <c r="A498" s="5">
        <v>237</v>
      </c>
      <c r="B498" s="6" t="s">
        <v>116</v>
      </c>
      <c r="C498" s="6" t="s">
        <v>117</v>
      </c>
      <c r="D498" s="42" t="s">
        <v>1174</v>
      </c>
      <c r="E498" s="38" t="s">
        <v>1085</v>
      </c>
      <c r="F498" s="39">
        <v>356.15</v>
      </c>
      <c r="G498" s="78">
        <v>3000</v>
      </c>
      <c r="H498" s="36" t="s">
        <v>1327</v>
      </c>
      <c r="I498" s="36" t="s">
        <v>73</v>
      </c>
      <c r="J498" s="36" t="s">
        <v>1017</v>
      </c>
      <c r="K498" s="79"/>
    </row>
    <row r="499" spans="1:11" x14ac:dyDescent="0.2">
      <c r="A499" s="6">
        <v>238</v>
      </c>
      <c r="B499" s="6" t="s">
        <v>116</v>
      </c>
      <c r="C499" s="6" t="s">
        <v>117</v>
      </c>
      <c r="D499" s="42" t="s">
        <v>1199</v>
      </c>
      <c r="E499" s="38" t="s">
        <v>1200</v>
      </c>
      <c r="F499" s="39">
        <v>33.75</v>
      </c>
      <c r="G499" s="78">
        <v>5250</v>
      </c>
      <c r="H499" s="36" t="s">
        <v>1319</v>
      </c>
      <c r="I499" s="36" t="s">
        <v>34</v>
      </c>
      <c r="J499" s="36" t="s">
        <v>1017</v>
      </c>
      <c r="K499" s="79"/>
    </row>
    <row r="500" spans="1:11" x14ac:dyDescent="0.2">
      <c r="A500" s="6">
        <v>253</v>
      </c>
      <c r="B500" s="6" t="s">
        <v>116</v>
      </c>
      <c r="C500" s="6" t="s">
        <v>117</v>
      </c>
      <c r="D500" s="42" t="s">
        <v>1171</v>
      </c>
      <c r="E500" s="38" t="s">
        <v>1172</v>
      </c>
      <c r="F500" s="39">
        <v>25.2</v>
      </c>
      <c r="G500" s="78">
        <v>3050</v>
      </c>
      <c r="H500" s="36" t="s">
        <v>1168</v>
      </c>
      <c r="I500" s="36" t="s">
        <v>81</v>
      </c>
      <c r="J500" s="36" t="s">
        <v>1017</v>
      </c>
      <c r="K500" s="79"/>
    </row>
    <row r="501" spans="1:11" x14ac:dyDescent="0.2">
      <c r="A501" s="6">
        <v>265</v>
      </c>
      <c r="B501" s="6" t="s">
        <v>116</v>
      </c>
      <c r="C501" s="6" t="s">
        <v>117</v>
      </c>
      <c r="D501" s="42" t="s">
        <v>1328</v>
      </c>
      <c r="E501" s="38" t="s">
        <v>861</v>
      </c>
      <c r="F501" s="39">
        <v>33.950000000000003</v>
      </c>
      <c r="G501" s="78">
        <v>3000</v>
      </c>
      <c r="H501" s="36" t="s">
        <v>1329</v>
      </c>
      <c r="I501" s="36" t="s">
        <v>73</v>
      </c>
      <c r="J501" s="36" t="s">
        <v>1017</v>
      </c>
      <c r="K501" s="79"/>
    </row>
    <row r="502" spans="1:11" x14ac:dyDescent="0.2">
      <c r="A502" s="5">
        <v>273</v>
      </c>
      <c r="B502" s="6" t="s">
        <v>118</v>
      </c>
      <c r="C502" s="6" t="s">
        <v>112</v>
      </c>
      <c r="D502" s="42" t="s">
        <v>1030</v>
      </c>
      <c r="E502" s="38" t="s">
        <v>673</v>
      </c>
      <c r="F502" s="49">
        <v>42.6</v>
      </c>
      <c r="G502" s="63">
        <v>2610</v>
      </c>
      <c r="H502" s="36" t="s">
        <v>1031</v>
      </c>
      <c r="I502" s="36" t="s">
        <v>85</v>
      </c>
      <c r="J502" s="36" t="s">
        <v>1032</v>
      </c>
      <c r="K502" s="46"/>
    </row>
    <row r="503" spans="1:11" x14ac:dyDescent="0.2">
      <c r="A503" s="5">
        <v>312</v>
      </c>
      <c r="B503" s="6" t="s">
        <v>118</v>
      </c>
      <c r="C503" s="6" t="s">
        <v>113</v>
      </c>
      <c r="D503" s="42" t="s">
        <v>1033</v>
      </c>
      <c r="E503" s="38" t="s">
        <v>673</v>
      </c>
      <c r="F503" s="50">
        <v>42.5</v>
      </c>
      <c r="G503" s="63">
        <v>2610</v>
      </c>
      <c r="H503" s="36" t="s">
        <v>1031</v>
      </c>
      <c r="I503" s="36" t="s">
        <v>85</v>
      </c>
      <c r="J503" s="36" t="s">
        <v>1032</v>
      </c>
      <c r="K503" s="101"/>
    </row>
    <row r="504" spans="1:11" x14ac:dyDescent="0.2">
      <c r="A504" s="5">
        <v>351</v>
      </c>
      <c r="B504" s="6" t="s">
        <v>118</v>
      </c>
      <c r="C504" s="6" t="s">
        <v>114</v>
      </c>
      <c r="D504" s="42" t="s">
        <v>1034</v>
      </c>
      <c r="E504" s="38" t="s">
        <v>1016</v>
      </c>
      <c r="F504" s="39">
        <v>42.5</v>
      </c>
      <c r="G504" s="78">
        <v>2610</v>
      </c>
      <c r="H504" s="36" t="s">
        <v>1035</v>
      </c>
      <c r="I504" s="36" t="s">
        <v>85</v>
      </c>
      <c r="J504" s="36" t="s">
        <v>1017</v>
      </c>
      <c r="K504" s="46"/>
    </row>
    <row r="505" spans="1:11" x14ac:dyDescent="0.2">
      <c r="A505" s="6">
        <v>382</v>
      </c>
      <c r="B505" s="6" t="s">
        <v>119</v>
      </c>
      <c r="C505" s="6" t="s">
        <v>112</v>
      </c>
      <c r="D505" s="42" t="s">
        <v>1036</v>
      </c>
      <c r="E505" s="38" t="s">
        <v>1016</v>
      </c>
      <c r="F505" s="39">
        <v>42.6</v>
      </c>
      <c r="G505" s="78">
        <v>2610</v>
      </c>
      <c r="H505" s="36" t="s">
        <v>1035</v>
      </c>
      <c r="I505" s="36" t="s">
        <v>85</v>
      </c>
      <c r="J505" s="36" t="s">
        <v>1017</v>
      </c>
      <c r="K505" s="46"/>
    </row>
    <row r="506" spans="1:11" x14ac:dyDescent="0.2">
      <c r="A506" s="5">
        <v>422</v>
      </c>
      <c r="B506" s="6" t="s">
        <v>119</v>
      </c>
      <c r="C506" s="6" t="s">
        <v>113</v>
      </c>
      <c r="D506" s="42" t="s">
        <v>1037</v>
      </c>
      <c r="E506" s="38" t="s">
        <v>673</v>
      </c>
      <c r="F506" s="116">
        <v>42.5</v>
      </c>
      <c r="G506" s="63">
        <v>2610</v>
      </c>
      <c r="H506" s="36" t="s">
        <v>1031</v>
      </c>
      <c r="I506" s="36" t="s">
        <v>85</v>
      </c>
      <c r="J506" s="36" t="s">
        <v>1032</v>
      </c>
      <c r="K506" s="46"/>
    </row>
    <row r="507" spans="1:11" x14ac:dyDescent="0.2">
      <c r="A507" s="5">
        <v>461</v>
      </c>
      <c r="B507" s="6" t="s">
        <v>119</v>
      </c>
      <c r="C507" s="6" t="s">
        <v>114</v>
      </c>
      <c r="D507" s="42" t="s">
        <v>1038</v>
      </c>
      <c r="E507" s="38" t="s">
        <v>673</v>
      </c>
      <c r="F507" s="49">
        <v>42.5</v>
      </c>
      <c r="G507" s="63">
        <v>2610</v>
      </c>
      <c r="H507" s="36" t="s">
        <v>1031</v>
      </c>
      <c r="I507" s="36" t="s">
        <v>85</v>
      </c>
      <c r="J507" s="36" t="s">
        <v>1032</v>
      </c>
      <c r="K507" s="46"/>
    </row>
    <row r="508" spans="1:11" x14ac:dyDescent="0.2">
      <c r="A508" s="5">
        <v>501</v>
      </c>
      <c r="B508" s="6" t="s">
        <v>120</v>
      </c>
      <c r="C508" s="6" t="s">
        <v>112</v>
      </c>
      <c r="D508" s="42" t="s">
        <v>1039</v>
      </c>
      <c r="E508" s="38" t="s">
        <v>673</v>
      </c>
      <c r="F508" s="49">
        <v>42.65</v>
      </c>
      <c r="G508" s="63">
        <v>2610</v>
      </c>
      <c r="H508" s="36" t="s">
        <v>1031</v>
      </c>
      <c r="I508" s="36" t="s">
        <v>85</v>
      </c>
      <c r="J508" s="36" t="s">
        <v>1032</v>
      </c>
      <c r="K508" s="101"/>
    </row>
    <row r="509" spans="1:11" x14ac:dyDescent="0.2">
      <c r="A509" s="5">
        <v>540</v>
      </c>
      <c r="B509" s="6" t="s">
        <v>120</v>
      </c>
      <c r="C509" s="6" t="s">
        <v>113</v>
      </c>
      <c r="D509" s="42" t="s">
        <v>1040</v>
      </c>
      <c r="E509" s="38" t="s">
        <v>673</v>
      </c>
      <c r="F509" s="50">
        <v>42.5</v>
      </c>
      <c r="G509" s="63">
        <v>2610</v>
      </c>
      <c r="H509" s="36" t="s">
        <v>1031</v>
      </c>
      <c r="I509" s="36" t="s">
        <v>85</v>
      </c>
      <c r="J509" s="36" t="s">
        <v>1032</v>
      </c>
      <c r="K509" s="46"/>
    </row>
    <row r="510" spans="1:11" x14ac:dyDescent="0.2">
      <c r="A510" s="5">
        <v>579</v>
      </c>
      <c r="B510" s="6" t="s">
        <v>120</v>
      </c>
      <c r="C510" s="6" t="s">
        <v>114</v>
      </c>
      <c r="D510" s="42" t="s">
        <v>1041</v>
      </c>
      <c r="E510" s="38" t="s">
        <v>673</v>
      </c>
      <c r="F510" s="50">
        <v>42.5</v>
      </c>
      <c r="G510" s="63">
        <v>2610</v>
      </c>
      <c r="H510" s="36" t="s">
        <v>1042</v>
      </c>
      <c r="I510" s="36" t="s">
        <v>96</v>
      </c>
      <c r="J510" s="36" t="s">
        <v>1032</v>
      </c>
      <c r="K510" s="46"/>
    </row>
    <row r="511" spans="1:11" ht="30" x14ac:dyDescent="0.2">
      <c r="A511" s="82">
        <v>159</v>
      </c>
      <c r="B511" s="83" t="s">
        <v>116</v>
      </c>
      <c r="C511" s="83" t="s">
        <v>113</v>
      </c>
      <c r="D511" s="84" t="s">
        <v>215</v>
      </c>
      <c r="E511" s="85" t="s">
        <v>216</v>
      </c>
      <c r="F511" s="86">
        <v>15.7</v>
      </c>
      <c r="G511" s="45" t="s">
        <v>212</v>
      </c>
      <c r="H511" s="45" t="s">
        <v>213</v>
      </c>
      <c r="I511" s="45" t="s">
        <v>54</v>
      </c>
      <c r="J511" s="45" t="s">
        <v>32</v>
      </c>
      <c r="K511" s="88"/>
    </row>
    <row r="512" spans="1:11" ht="30" x14ac:dyDescent="0.2">
      <c r="A512" s="83">
        <v>160</v>
      </c>
      <c r="B512" s="83" t="s">
        <v>116</v>
      </c>
      <c r="C512" s="83" t="s">
        <v>113</v>
      </c>
      <c r="D512" s="84" t="s">
        <v>210</v>
      </c>
      <c r="E512" s="85" t="s">
        <v>211</v>
      </c>
      <c r="F512" s="86">
        <f>114.7-5.15-25.9</f>
        <v>83.65</v>
      </c>
      <c r="G512" s="45" t="s">
        <v>212</v>
      </c>
      <c r="H512" s="45" t="s">
        <v>213</v>
      </c>
      <c r="I512" s="45" t="s">
        <v>54</v>
      </c>
      <c r="J512" s="45" t="s">
        <v>44</v>
      </c>
      <c r="K512" s="88"/>
    </row>
    <row r="513" spans="1:11" ht="30" x14ac:dyDescent="0.2">
      <c r="A513" s="82">
        <v>159</v>
      </c>
      <c r="B513" s="83" t="s">
        <v>116</v>
      </c>
      <c r="C513" s="83" t="s">
        <v>113</v>
      </c>
      <c r="D513" s="84" t="s">
        <v>215</v>
      </c>
      <c r="E513" s="85" t="s">
        <v>216</v>
      </c>
      <c r="F513" s="86">
        <f>63.75-15.7-2.8</f>
        <v>45.25</v>
      </c>
      <c r="G513" s="45" t="s">
        <v>212</v>
      </c>
      <c r="H513" s="45" t="s">
        <v>213</v>
      </c>
      <c r="I513" s="45" t="s">
        <v>54</v>
      </c>
      <c r="J513" s="45" t="s">
        <v>44</v>
      </c>
      <c r="K513" s="88"/>
    </row>
    <row r="514" spans="1:11" x14ac:dyDescent="0.2">
      <c r="A514" s="5">
        <v>128</v>
      </c>
      <c r="B514" s="6" t="s">
        <v>116</v>
      </c>
      <c r="C514" s="6" t="s">
        <v>112</v>
      </c>
      <c r="D514" s="37" t="s">
        <v>1059</v>
      </c>
      <c r="E514" s="38" t="s">
        <v>1060</v>
      </c>
      <c r="F514" s="39">
        <v>45.35</v>
      </c>
      <c r="G514" s="78">
        <v>3000</v>
      </c>
      <c r="H514" s="36" t="s">
        <v>1056</v>
      </c>
      <c r="I514" s="36" t="s">
        <v>43</v>
      </c>
      <c r="J514" s="48" t="s">
        <v>44</v>
      </c>
      <c r="K514" s="79"/>
    </row>
    <row r="515" spans="1:11" ht="30" x14ac:dyDescent="0.2">
      <c r="A515" s="5">
        <v>276</v>
      </c>
      <c r="B515" s="6" t="s">
        <v>118</v>
      </c>
      <c r="C515" s="6" t="s">
        <v>112</v>
      </c>
      <c r="D515" s="42" t="s">
        <v>835</v>
      </c>
      <c r="E515" s="38" t="s">
        <v>679</v>
      </c>
      <c r="F515" s="49">
        <v>71.8</v>
      </c>
      <c r="G515" s="63">
        <v>2830</v>
      </c>
      <c r="H515" s="36" t="s">
        <v>656</v>
      </c>
      <c r="I515" s="40" t="s">
        <v>86</v>
      </c>
      <c r="J515" s="36" t="s">
        <v>836</v>
      </c>
      <c r="K515" s="46"/>
    </row>
    <row r="516" spans="1:11" x14ac:dyDescent="0.2">
      <c r="A516" s="6">
        <v>277</v>
      </c>
      <c r="B516" s="6" t="s">
        <v>118</v>
      </c>
      <c r="C516" s="6" t="s">
        <v>112</v>
      </c>
      <c r="D516" s="42" t="s">
        <v>837</v>
      </c>
      <c r="E516" s="38" t="s">
        <v>679</v>
      </c>
      <c r="F516" s="49">
        <v>18.850000000000001</v>
      </c>
      <c r="G516" s="63">
        <v>2830</v>
      </c>
      <c r="H516" s="36" t="s">
        <v>656</v>
      </c>
      <c r="I516" s="36" t="s">
        <v>73</v>
      </c>
      <c r="J516" s="36" t="s">
        <v>836</v>
      </c>
      <c r="K516" s="46"/>
    </row>
    <row r="517" spans="1:11" x14ac:dyDescent="0.2">
      <c r="A517" s="5">
        <v>278</v>
      </c>
      <c r="B517" s="6" t="s">
        <v>118</v>
      </c>
      <c r="C517" s="6" t="s">
        <v>112</v>
      </c>
      <c r="D517" s="42" t="s">
        <v>838</v>
      </c>
      <c r="E517" s="38" t="s">
        <v>679</v>
      </c>
      <c r="F517" s="49">
        <v>53.5</v>
      </c>
      <c r="G517" s="63">
        <v>2830</v>
      </c>
      <c r="H517" s="36" t="s">
        <v>656</v>
      </c>
      <c r="I517" s="36" t="s">
        <v>87</v>
      </c>
      <c r="J517" s="36" t="s">
        <v>836</v>
      </c>
      <c r="K517" s="46"/>
    </row>
    <row r="518" spans="1:11" x14ac:dyDescent="0.2">
      <c r="A518" s="5">
        <v>279</v>
      </c>
      <c r="B518" s="6" t="s">
        <v>118</v>
      </c>
      <c r="C518" s="6" t="s">
        <v>112</v>
      </c>
      <c r="D518" s="42" t="s">
        <v>839</v>
      </c>
      <c r="E518" s="38" t="s">
        <v>679</v>
      </c>
      <c r="F518" s="49">
        <v>38.299999999999997</v>
      </c>
      <c r="G518" s="63">
        <v>2830</v>
      </c>
      <c r="H518" s="36" t="s">
        <v>656</v>
      </c>
      <c r="I518" s="36" t="s">
        <v>88</v>
      </c>
      <c r="J518" s="36" t="s">
        <v>836</v>
      </c>
      <c r="K518" s="46"/>
    </row>
    <row r="519" spans="1:11" x14ac:dyDescent="0.2">
      <c r="A519" s="6">
        <v>286</v>
      </c>
      <c r="B519" s="6" t="s">
        <v>118</v>
      </c>
      <c r="C519" s="6" t="s">
        <v>112</v>
      </c>
      <c r="D519" s="42" t="s">
        <v>846</v>
      </c>
      <c r="E519" s="38" t="s">
        <v>847</v>
      </c>
      <c r="F519" s="49">
        <v>71.400000000000006</v>
      </c>
      <c r="G519" s="63">
        <v>2830</v>
      </c>
      <c r="H519" s="36" t="s">
        <v>656</v>
      </c>
      <c r="I519" s="36" t="s">
        <v>9</v>
      </c>
      <c r="J519" s="36" t="s">
        <v>836</v>
      </c>
      <c r="K519" s="46"/>
    </row>
    <row r="520" spans="1:11" x14ac:dyDescent="0.2">
      <c r="A520" s="5">
        <v>315</v>
      </c>
      <c r="B520" s="6" t="s">
        <v>118</v>
      </c>
      <c r="C520" s="6" t="s">
        <v>113</v>
      </c>
      <c r="D520" s="42" t="s">
        <v>850</v>
      </c>
      <c r="E520" s="38" t="s">
        <v>679</v>
      </c>
      <c r="F520" s="49">
        <v>50.2</v>
      </c>
      <c r="G520" s="63">
        <v>2830</v>
      </c>
      <c r="H520" s="36" t="s">
        <v>656</v>
      </c>
      <c r="I520" s="40" t="s">
        <v>81</v>
      </c>
      <c r="J520" s="36" t="s">
        <v>836</v>
      </c>
      <c r="K520" s="101"/>
    </row>
    <row r="521" spans="1:11" x14ac:dyDescent="0.2">
      <c r="A521" s="6">
        <v>316</v>
      </c>
      <c r="B521" s="6" t="s">
        <v>118</v>
      </c>
      <c r="C521" s="6" t="s">
        <v>113</v>
      </c>
      <c r="D521" s="42" t="s">
        <v>851</v>
      </c>
      <c r="E521" s="38" t="s">
        <v>679</v>
      </c>
      <c r="F521" s="49">
        <v>35.5</v>
      </c>
      <c r="G521" s="63">
        <v>2830</v>
      </c>
      <c r="H521" s="36" t="s">
        <v>656</v>
      </c>
      <c r="I521" s="36" t="s">
        <v>73</v>
      </c>
      <c r="J521" s="36" t="s">
        <v>836</v>
      </c>
      <c r="K521" s="101"/>
    </row>
    <row r="522" spans="1:11" x14ac:dyDescent="0.2">
      <c r="A522" s="5">
        <v>317</v>
      </c>
      <c r="B522" s="6" t="s">
        <v>118</v>
      </c>
      <c r="C522" s="6" t="s">
        <v>113</v>
      </c>
      <c r="D522" s="42" t="s">
        <v>852</v>
      </c>
      <c r="E522" s="38" t="s">
        <v>679</v>
      </c>
      <c r="F522" s="49">
        <v>18.5</v>
      </c>
      <c r="G522" s="63">
        <v>2830</v>
      </c>
      <c r="H522" s="36" t="s">
        <v>656</v>
      </c>
      <c r="I522" s="36" t="s">
        <v>95</v>
      </c>
      <c r="J522" s="36" t="s">
        <v>836</v>
      </c>
      <c r="K522" s="101"/>
    </row>
    <row r="523" spans="1:11" x14ac:dyDescent="0.2">
      <c r="A523" s="5">
        <v>318</v>
      </c>
      <c r="B523" s="6" t="s">
        <v>118</v>
      </c>
      <c r="C523" s="6" t="s">
        <v>113</v>
      </c>
      <c r="D523" s="42" t="s">
        <v>853</v>
      </c>
      <c r="E523" s="38" t="s">
        <v>679</v>
      </c>
      <c r="F523" s="49">
        <v>68</v>
      </c>
      <c r="G523" s="63">
        <v>2830</v>
      </c>
      <c r="H523" s="36" t="s">
        <v>656</v>
      </c>
      <c r="I523" s="36" t="s">
        <v>96</v>
      </c>
      <c r="J523" s="36" t="s">
        <v>836</v>
      </c>
      <c r="K523" s="101"/>
    </row>
    <row r="524" spans="1:11" x14ac:dyDescent="0.2">
      <c r="A524" s="6">
        <v>325</v>
      </c>
      <c r="B524" s="6" t="s">
        <v>118</v>
      </c>
      <c r="C524" s="6" t="s">
        <v>113</v>
      </c>
      <c r="D524" s="42" t="s">
        <v>858</v>
      </c>
      <c r="E524" s="38" t="s">
        <v>847</v>
      </c>
      <c r="F524" s="49">
        <v>74</v>
      </c>
      <c r="G524" s="63">
        <v>2830</v>
      </c>
      <c r="H524" s="36" t="s">
        <v>656</v>
      </c>
      <c r="I524" s="36" t="s">
        <v>9</v>
      </c>
      <c r="J524" s="36" t="s">
        <v>836</v>
      </c>
      <c r="K524" s="101"/>
    </row>
    <row r="525" spans="1:11" ht="30" x14ac:dyDescent="0.2">
      <c r="A525" s="5">
        <v>354</v>
      </c>
      <c r="B525" s="6" t="s">
        <v>118</v>
      </c>
      <c r="C525" s="6" t="s">
        <v>114</v>
      </c>
      <c r="D525" s="42" t="s">
        <v>860</v>
      </c>
      <c r="E525" s="38" t="s">
        <v>861</v>
      </c>
      <c r="F525" s="39">
        <v>71.8</v>
      </c>
      <c r="G525" s="78">
        <v>2830</v>
      </c>
      <c r="H525" s="36" t="s">
        <v>862</v>
      </c>
      <c r="I525" s="40" t="s">
        <v>86</v>
      </c>
      <c r="J525" s="36" t="s">
        <v>863</v>
      </c>
      <c r="K525" s="46"/>
    </row>
    <row r="526" spans="1:11" x14ac:dyDescent="0.2">
      <c r="A526" s="6">
        <v>355</v>
      </c>
      <c r="B526" s="6" t="s">
        <v>118</v>
      </c>
      <c r="C526" s="6" t="s">
        <v>114</v>
      </c>
      <c r="D526" s="42" t="s">
        <v>1330</v>
      </c>
      <c r="E526" s="38" t="s">
        <v>861</v>
      </c>
      <c r="F526" s="39">
        <v>18.75</v>
      </c>
      <c r="G526" s="78">
        <v>2830</v>
      </c>
      <c r="H526" s="36" t="s">
        <v>1323</v>
      </c>
      <c r="I526" s="36" t="s">
        <v>73</v>
      </c>
      <c r="J526" s="36" t="s">
        <v>863</v>
      </c>
      <c r="K526" s="46"/>
    </row>
    <row r="527" spans="1:11" x14ac:dyDescent="0.2">
      <c r="A527" s="5">
        <v>356</v>
      </c>
      <c r="B527" s="6" t="s">
        <v>118</v>
      </c>
      <c r="C527" s="6" t="s">
        <v>114</v>
      </c>
      <c r="D527" s="64" t="s">
        <v>1331</v>
      </c>
      <c r="E527" s="65" t="s">
        <v>861</v>
      </c>
      <c r="F527" s="120">
        <v>38.15</v>
      </c>
      <c r="G527" s="121">
        <v>2830</v>
      </c>
      <c r="H527" s="53" t="s">
        <v>1332</v>
      </c>
      <c r="I527" s="53" t="s">
        <v>81</v>
      </c>
      <c r="J527" s="53" t="s">
        <v>863</v>
      </c>
      <c r="K527" s="68"/>
    </row>
    <row r="528" spans="1:11" x14ac:dyDescent="0.2">
      <c r="A528" s="5">
        <v>363</v>
      </c>
      <c r="B528" s="6" t="s">
        <v>118</v>
      </c>
      <c r="C528" s="6" t="s">
        <v>114</v>
      </c>
      <c r="D528" s="42" t="s">
        <v>975</v>
      </c>
      <c r="E528" s="38" t="s">
        <v>875</v>
      </c>
      <c r="F528" s="39">
        <v>68.3</v>
      </c>
      <c r="G528" s="78">
        <v>2830</v>
      </c>
      <c r="H528" s="36" t="s">
        <v>973</v>
      </c>
      <c r="I528" s="36" t="s">
        <v>71</v>
      </c>
      <c r="J528" s="36" t="s">
        <v>863</v>
      </c>
      <c r="K528" s="46"/>
    </row>
    <row r="529" spans="1:11" ht="30" x14ac:dyDescent="0.2">
      <c r="A529" s="6">
        <v>385</v>
      </c>
      <c r="B529" s="6" t="s">
        <v>119</v>
      </c>
      <c r="C529" s="6" t="s">
        <v>112</v>
      </c>
      <c r="D529" s="42" t="s">
        <v>864</v>
      </c>
      <c r="E529" s="38" t="s">
        <v>861</v>
      </c>
      <c r="F529" s="39">
        <v>71.8</v>
      </c>
      <c r="G529" s="78">
        <v>2830</v>
      </c>
      <c r="H529" s="36" t="s">
        <v>862</v>
      </c>
      <c r="I529" s="40" t="s">
        <v>86</v>
      </c>
      <c r="J529" s="36" t="s">
        <v>863</v>
      </c>
      <c r="K529" s="46"/>
    </row>
    <row r="530" spans="1:11" x14ac:dyDescent="0.2">
      <c r="A530" s="5">
        <v>386</v>
      </c>
      <c r="B530" s="6" t="s">
        <v>119</v>
      </c>
      <c r="C530" s="6" t="s">
        <v>112</v>
      </c>
      <c r="D530" s="42" t="s">
        <v>865</v>
      </c>
      <c r="E530" s="38" t="s">
        <v>861</v>
      </c>
      <c r="F530" s="39">
        <v>18.850000000000001</v>
      </c>
      <c r="G530" s="78">
        <v>2830</v>
      </c>
      <c r="H530" s="36" t="s">
        <v>862</v>
      </c>
      <c r="I530" s="36" t="s">
        <v>73</v>
      </c>
      <c r="J530" s="36" t="s">
        <v>863</v>
      </c>
      <c r="K530" s="46"/>
    </row>
    <row r="531" spans="1:11" x14ac:dyDescent="0.2">
      <c r="A531" s="5">
        <v>387</v>
      </c>
      <c r="B531" s="6" t="s">
        <v>119</v>
      </c>
      <c r="C531" s="6" t="s">
        <v>112</v>
      </c>
      <c r="D531" s="42" t="s">
        <v>866</v>
      </c>
      <c r="E531" s="38" t="s">
        <v>861</v>
      </c>
      <c r="F531" s="39">
        <v>53.65</v>
      </c>
      <c r="G531" s="78">
        <v>2830</v>
      </c>
      <c r="H531" s="36" t="s">
        <v>862</v>
      </c>
      <c r="I531" s="36" t="s">
        <v>88</v>
      </c>
      <c r="J531" s="36" t="s">
        <v>863</v>
      </c>
      <c r="K531" s="46"/>
    </row>
    <row r="532" spans="1:11" x14ac:dyDescent="0.2">
      <c r="A532" s="6">
        <v>388</v>
      </c>
      <c r="B532" s="6" t="s">
        <v>119</v>
      </c>
      <c r="C532" s="6" t="s">
        <v>112</v>
      </c>
      <c r="D532" s="42" t="s">
        <v>867</v>
      </c>
      <c r="E532" s="38" t="s">
        <v>861</v>
      </c>
      <c r="F532" s="39">
        <v>38.299999999999997</v>
      </c>
      <c r="G532" s="78">
        <v>2830</v>
      </c>
      <c r="H532" s="36" t="s">
        <v>862</v>
      </c>
      <c r="I532" s="36" t="s">
        <v>88</v>
      </c>
      <c r="J532" s="36" t="s">
        <v>863</v>
      </c>
      <c r="K532" s="46"/>
    </row>
    <row r="533" spans="1:11" x14ac:dyDescent="0.2">
      <c r="A533" s="5">
        <v>395</v>
      </c>
      <c r="B533" s="6" t="s">
        <v>119</v>
      </c>
      <c r="C533" s="6" t="s">
        <v>112</v>
      </c>
      <c r="D533" s="42" t="s">
        <v>874</v>
      </c>
      <c r="E533" s="38" t="s">
        <v>875</v>
      </c>
      <c r="F533" s="39">
        <v>71.400000000000006</v>
      </c>
      <c r="G533" s="78">
        <v>2830</v>
      </c>
      <c r="H533" s="36" t="s">
        <v>862</v>
      </c>
      <c r="I533" s="36" t="s">
        <v>9</v>
      </c>
      <c r="J533" s="36" t="s">
        <v>863</v>
      </c>
      <c r="K533" s="46"/>
    </row>
    <row r="534" spans="1:11" x14ac:dyDescent="0.2">
      <c r="A534" s="5">
        <v>425</v>
      </c>
      <c r="B534" s="6" t="s">
        <v>119</v>
      </c>
      <c r="C534" s="6" t="s">
        <v>113</v>
      </c>
      <c r="D534" s="42" t="s">
        <v>881</v>
      </c>
      <c r="E534" s="38" t="s">
        <v>679</v>
      </c>
      <c r="F534" s="52">
        <v>50.2</v>
      </c>
      <c r="G534" s="63">
        <v>2830</v>
      </c>
      <c r="H534" s="36" t="s">
        <v>656</v>
      </c>
      <c r="I534" s="40" t="s">
        <v>81</v>
      </c>
      <c r="J534" s="36" t="s">
        <v>836</v>
      </c>
      <c r="K534" s="46"/>
    </row>
    <row r="535" spans="1:11" x14ac:dyDescent="0.2">
      <c r="A535" s="5">
        <v>426</v>
      </c>
      <c r="B535" s="6" t="s">
        <v>119</v>
      </c>
      <c r="C535" s="6" t="s">
        <v>113</v>
      </c>
      <c r="D535" s="42" t="s">
        <v>882</v>
      </c>
      <c r="E535" s="38" t="s">
        <v>679</v>
      </c>
      <c r="F535" s="52">
        <v>35.5</v>
      </c>
      <c r="G535" s="63">
        <v>2830</v>
      </c>
      <c r="H535" s="36" t="s">
        <v>656</v>
      </c>
      <c r="I535" s="36" t="s">
        <v>73</v>
      </c>
      <c r="J535" s="36" t="s">
        <v>836</v>
      </c>
      <c r="K535" s="46"/>
    </row>
    <row r="536" spans="1:11" x14ac:dyDescent="0.2">
      <c r="A536" s="6">
        <v>427</v>
      </c>
      <c r="B536" s="6" t="s">
        <v>119</v>
      </c>
      <c r="C536" s="6" t="s">
        <v>113</v>
      </c>
      <c r="D536" s="42" t="s">
        <v>883</v>
      </c>
      <c r="E536" s="38" t="s">
        <v>679</v>
      </c>
      <c r="F536" s="52">
        <v>18.5</v>
      </c>
      <c r="G536" s="63">
        <v>2830</v>
      </c>
      <c r="H536" s="36" t="s">
        <v>656</v>
      </c>
      <c r="I536" s="36" t="s">
        <v>95</v>
      </c>
      <c r="J536" s="36" t="s">
        <v>836</v>
      </c>
      <c r="K536" s="46"/>
    </row>
    <row r="537" spans="1:11" x14ac:dyDescent="0.2">
      <c r="A537" s="5">
        <v>428</v>
      </c>
      <c r="B537" s="6" t="s">
        <v>119</v>
      </c>
      <c r="C537" s="6" t="s">
        <v>113</v>
      </c>
      <c r="D537" s="42" t="s">
        <v>884</v>
      </c>
      <c r="E537" s="38" t="s">
        <v>679</v>
      </c>
      <c r="F537" s="52">
        <v>67.599999999999994</v>
      </c>
      <c r="G537" s="63">
        <v>2830</v>
      </c>
      <c r="H537" s="36" t="s">
        <v>656</v>
      </c>
      <c r="I537" s="36" t="s">
        <v>96</v>
      </c>
      <c r="J537" s="36" t="s">
        <v>836</v>
      </c>
      <c r="K537" s="46"/>
    </row>
    <row r="538" spans="1:11" x14ac:dyDescent="0.2">
      <c r="A538" s="5">
        <v>435</v>
      </c>
      <c r="B538" s="6" t="s">
        <v>119</v>
      </c>
      <c r="C538" s="6" t="s">
        <v>113</v>
      </c>
      <c r="D538" s="42" t="s">
        <v>889</v>
      </c>
      <c r="E538" s="38" t="s">
        <v>847</v>
      </c>
      <c r="F538" s="52">
        <v>74</v>
      </c>
      <c r="G538" s="63">
        <v>2830</v>
      </c>
      <c r="H538" s="36" t="s">
        <v>656</v>
      </c>
      <c r="I538" s="36" t="s">
        <v>9</v>
      </c>
      <c r="J538" s="36" t="s">
        <v>836</v>
      </c>
      <c r="K538" s="46"/>
    </row>
    <row r="539" spans="1:11" ht="30" x14ac:dyDescent="0.2">
      <c r="A539" s="5">
        <v>464</v>
      </c>
      <c r="B539" s="6" t="s">
        <v>119</v>
      </c>
      <c r="C539" s="6" t="s">
        <v>114</v>
      </c>
      <c r="D539" s="42" t="s">
        <v>894</v>
      </c>
      <c r="E539" s="38" t="s">
        <v>679</v>
      </c>
      <c r="F539" s="49">
        <v>71.8</v>
      </c>
      <c r="G539" s="63">
        <v>2830</v>
      </c>
      <c r="H539" s="36" t="s">
        <v>656</v>
      </c>
      <c r="I539" s="40" t="s">
        <v>86</v>
      </c>
      <c r="J539" s="36" t="s">
        <v>836</v>
      </c>
      <c r="K539" s="46"/>
    </row>
    <row r="540" spans="1:11" x14ac:dyDescent="0.2">
      <c r="A540" s="5">
        <v>465</v>
      </c>
      <c r="B540" s="6" t="s">
        <v>119</v>
      </c>
      <c r="C540" s="6" t="s">
        <v>114</v>
      </c>
      <c r="D540" s="42" t="s">
        <v>895</v>
      </c>
      <c r="E540" s="38" t="s">
        <v>679</v>
      </c>
      <c r="F540" s="49">
        <v>18.899999999999999</v>
      </c>
      <c r="G540" s="63">
        <v>2830</v>
      </c>
      <c r="H540" s="36" t="s">
        <v>656</v>
      </c>
      <c r="I540" s="36" t="s">
        <v>73</v>
      </c>
      <c r="J540" s="36" t="s">
        <v>836</v>
      </c>
      <c r="K540" s="46"/>
    </row>
    <row r="541" spans="1:11" x14ac:dyDescent="0.2">
      <c r="A541" s="6">
        <v>466</v>
      </c>
      <c r="B541" s="6" t="s">
        <v>119</v>
      </c>
      <c r="C541" s="6" t="s">
        <v>114</v>
      </c>
      <c r="D541" s="42" t="s">
        <v>1333</v>
      </c>
      <c r="E541" s="38" t="s">
        <v>679</v>
      </c>
      <c r="F541" s="49">
        <v>53.55</v>
      </c>
      <c r="G541" s="63">
        <v>2830</v>
      </c>
      <c r="H541" s="36" t="s">
        <v>1334</v>
      </c>
      <c r="I541" s="36" t="s">
        <v>109</v>
      </c>
      <c r="J541" s="36" t="s">
        <v>836</v>
      </c>
      <c r="K541" s="46"/>
    </row>
    <row r="542" spans="1:11" x14ac:dyDescent="0.2">
      <c r="A542" s="5">
        <v>467</v>
      </c>
      <c r="B542" s="6" t="s">
        <v>119</v>
      </c>
      <c r="C542" s="6" t="s">
        <v>114</v>
      </c>
      <c r="D542" s="42" t="s">
        <v>976</v>
      </c>
      <c r="E542" s="38" t="s">
        <v>679</v>
      </c>
      <c r="F542" s="49">
        <v>38.35</v>
      </c>
      <c r="G542" s="63">
        <v>2830</v>
      </c>
      <c r="H542" s="36" t="s">
        <v>977</v>
      </c>
      <c r="I542" s="36" t="s">
        <v>88</v>
      </c>
      <c r="J542" s="36" t="s">
        <v>836</v>
      </c>
      <c r="K542" s="46"/>
    </row>
    <row r="543" spans="1:11" x14ac:dyDescent="0.2">
      <c r="A543" s="5">
        <v>474</v>
      </c>
      <c r="B543" s="6" t="s">
        <v>119</v>
      </c>
      <c r="C543" s="6" t="s">
        <v>114</v>
      </c>
      <c r="D543" s="42" t="s">
        <v>899</v>
      </c>
      <c r="E543" s="38" t="s">
        <v>847</v>
      </c>
      <c r="F543" s="49">
        <v>71.45</v>
      </c>
      <c r="G543" s="63">
        <v>2830</v>
      </c>
      <c r="H543" s="36" t="s">
        <v>656</v>
      </c>
      <c r="I543" s="36" t="s">
        <v>9</v>
      </c>
      <c r="J543" s="36" t="s">
        <v>836</v>
      </c>
      <c r="K543" s="46"/>
    </row>
    <row r="544" spans="1:11" ht="30" x14ac:dyDescent="0.2">
      <c r="A544" s="5">
        <v>504</v>
      </c>
      <c r="B544" s="6" t="s">
        <v>120</v>
      </c>
      <c r="C544" s="6" t="s">
        <v>112</v>
      </c>
      <c r="D544" s="42" t="s">
        <v>902</v>
      </c>
      <c r="E544" s="38" t="s">
        <v>679</v>
      </c>
      <c r="F544" s="49">
        <v>71.75</v>
      </c>
      <c r="G544" s="63">
        <v>2830</v>
      </c>
      <c r="H544" s="36" t="s">
        <v>656</v>
      </c>
      <c r="I544" s="40" t="s">
        <v>86</v>
      </c>
      <c r="J544" s="36" t="s">
        <v>836</v>
      </c>
      <c r="K544" s="101"/>
    </row>
    <row r="545" spans="1:11" x14ac:dyDescent="0.2">
      <c r="A545" s="6">
        <v>505</v>
      </c>
      <c r="B545" s="6" t="s">
        <v>120</v>
      </c>
      <c r="C545" s="6" t="s">
        <v>112</v>
      </c>
      <c r="D545" s="42" t="s">
        <v>903</v>
      </c>
      <c r="E545" s="38" t="s">
        <v>679</v>
      </c>
      <c r="F545" s="49">
        <v>18.850000000000001</v>
      </c>
      <c r="G545" s="63">
        <v>2830</v>
      </c>
      <c r="H545" s="36" t="s">
        <v>656</v>
      </c>
      <c r="I545" s="36" t="s">
        <v>73</v>
      </c>
      <c r="J545" s="36" t="s">
        <v>836</v>
      </c>
      <c r="K545" s="101"/>
    </row>
    <row r="546" spans="1:11" x14ac:dyDescent="0.2">
      <c r="A546" s="5">
        <v>506</v>
      </c>
      <c r="B546" s="6" t="s">
        <v>120</v>
      </c>
      <c r="C546" s="6" t="s">
        <v>112</v>
      </c>
      <c r="D546" s="42" t="s">
        <v>904</v>
      </c>
      <c r="E546" s="38" t="s">
        <v>679</v>
      </c>
      <c r="F546" s="49">
        <v>54.2</v>
      </c>
      <c r="G546" s="63">
        <v>2830</v>
      </c>
      <c r="H546" s="36" t="s">
        <v>656</v>
      </c>
      <c r="I546" s="36" t="s">
        <v>87</v>
      </c>
      <c r="J546" s="36" t="s">
        <v>836</v>
      </c>
      <c r="K546" s="101"/>
    </row>
    <row r="547" spans="1:11" x14ac:dyDescent="0.2">
      <c r="A547" s="5">
        <v>507</v>
      </c>
      <c r="B547" s="6" t="s">
        <v>120</v>
      </c>
      <c r="C547" s="6" t="s">
        <v>112</v>
      </c>
      <c r="D547" s="42" t="s">
        <v>905</v>
      </c>
      <c r="E547" s="38" t="s">
        <v>679</v>
      </c>
      <c r="F547" s="49">
        <v>38.299999999999997</v>
      </c>
      <c r="G547" s="63">
        <v>2830</v>
      </c>
      <c r="H547" s="36" t="s">
        <v>656</v>
      </c>
      <c r="I547" s="36" t="s">
        <v>88</v>
      </c>
      <c r="J547" s="36" t="s">
        <v>836</v>
      </c>
      <c r="K547" s="101"/>
    </row>
    <row r="548" spans="1:11" x14ac:dyDescent="0.2">
      <c r="A548" s="6">
        <v>514</v>
      </c>
      <c r="B548" s="6" t="s">
        <v>120</v>
      </c>
      <c r="C548" s="6" t="s">
        <v>112</v>
      </c>
      <c r="D548" s="42" t="s">
        <v>909</v>
      </c>
      <c r="E548" s="38" t="s">
        <v>847</v>
      </c>
      <c r="F548" s="49">
        <v>71.400000000000006</v>
      </c>
      <c r="G548" s="63">
        <v>2830</v>
      </c>
      <c r="H548" s="36" t="s">
        <v>656</v>
      </c>
      <c r="I548" s="36" t="s">
        <v>9</v>
      </c>
      <c r="J548" s="36" t="s">
        <v>836</v>
      </c>
      <c r="K548" s="101"/>
    </row>
    <row r="549" spans="1:11" x14ac:dyDescent="0.2">
      <c r="A549" s="5">
        <v>543</v>
      </c>
      <c r="B549" s="6" t="s">
        <v>120</v>
      </c>
      <c r="C549" s="6" t="s">
        <v>113</v>
      </c>
      <c r="D549" s="42" t="s">
        <v>912</v>
      </c>
      <c r="E549" s="38" t="s">
        <v>679</v>
      </c>
      <c r="F549" s="49">
        <v>50.2</v>
      </c>
      <c r="G549" s="63">
        <v>2830</v>
      </c>
      <c r="H549" s="36" t="s">
        <v>656</v>
      </c>
      <c r="I549" s="40" t="s">
        <v>81</v>
      </c>
      <c r="J549" s="36" t="s">
        <v>836</v>
      </c>
      <c r="K549" s="46"/>
    </row>
    <row r="550" spans="1:11" x14ac:dyDescent="0.2">
      <c r="A550" s="6">
        <v>544</v>
      </c>
      <c r="B550" s="6" t="s">
        <v>120</v>
      </c>
      <c r="C550" s="6" t="s">
        <v>113</v>
      </c>
      <c r="D550" s="42" t="s">
        <v>913</v>
      </c>
      <c r="E550" s="38" t="s">
        <v>679</v>
      </c>
      <c r="F550" s="49">
        <v>35.5</v>
      </c>
      <c r="G550" s="63">
        <v>2830</v>
      </c>
      <c r="H550" s="36" t="s">
        <v>656</v>
      </c>
      <c r="I550" s="36" t="s">
        <v>73</v>
      </c>
      <c r="J550" s="36" t="s">
        <v>836</v>
      </c>
      <c r="K550" s="46"/>
    </row>
    <row r="551" spans="1:11" x14ac:dyDescent="0.2">
      <c r="A551" s="5">
        <v>545</v>
      </c>
      <c r="B551" s="6" t="s">
        <v>120</v>
      </c>
      <c r="C551" s="6" t="s">
        <v>113</v>
      </c>
      <c r="D551" s="42" t="s">
        <v>914</v>
      </c>
      <c r="E551" s="38" t="s">
        <v>679</v>
      </c>
      <c r="F551" s="49">
        <v>18.5</v>
      </c>
      <c r="G551" s="63">
        <v>2830</v>
      </c>
      <c r="H551" s="36" t="s">
        <v>656</v>
      </c>
      <c r="I551" s="36" t="s">
        <v>95</v>
      </c>
      <c r="J551" s="36" t="s">
        <v>836</v>
      </c>
      <c r="K551" s="46"/>
    </row>
    <row r="552" spans="1:11" x14ac:dyDescent="0.2">
      <c r="A552" s="5">
        <v>546</v>
      </c>
      <c r="B552" s="6" t="s">
        <v>120</v>
      </c>
      <c r="C552" s="6" t="s">
        <v>113</v>
      </c>
      <c r="D552" s="42" t="s">
        <v>915</v>
      </c>
      <c r="E552" s="38" t="s">
        <v>679</v>
      </c>
      <c r="F552" s="49">
        <v>68</v>
      </c>
      <c r="G552" s="63">
        <v>2830</v>
      </c>
      <c r="H552" s="36" t="s">
        <v>656</v>
      </c>
      <c r="I552" s="36" t="s">
        <v>109</v>
      </c>
      <c r="J552" s="36" t="s">
        <v>836</v>
      </c>
      <c r="K552" s="46"/>
    </row>
    <row r="553" spans="1:11" x14ac:dyDescent="0.2">
      <c r="A553" s="6">
        <v>553</v>
      </c>
      <c r="B553" s="6" t="s">
        <v>120</v>
      </c>
      <c r="C553" s="6" t="s">
        <v>113</v>
      </c>
      <c r="D553" s="42" t="s">
        <v>918</v>
      </c>
      <c r="E553" s="38" t="s">
        <v>847</v>
      </c>
      <c r="F553" s="49">
        <v>74</v>
      </c>
      <c r="G553" s="63">
        <v>2830</v>
      </c>
      <c r="H553" s="36" t="s">
        <v>656</v>
      </c>
      <c r="I553" s="36" t="s">
        <v>9</v>
      </c>
      <c r="J553" s="36" t="s">
        <v>836</v>
      </c>
      <c r="K553" s="46"/>
    </row>
    <row r="554" spans="1:11" ht="30" x14ac:dyDescent="0.2">
      <c r="A554" s="5">
        <v>582</v>
      </c>
      <c r="B554" s="6" t="s">
        <v>120</v>
      </c>
      <c r="C554" s="6" t="s">
        <v>114</v>
      </c>
      <c r="D554" s="42" t="s">
        <v>920</v>
      </c>
      <c r="E554" s="38" t="s">
        <v>679</v>
      </c>
      <c r="F554" s="49">
        <v>71.8</v>
      </c>
      <c r="G554" s="63">
        <v>2830</v>
      </c>
      <c r="H554" s="36" t="s">
        <v>656</v>
      </c>
      <c r="I554" s="40" t="s">
        <v>86</v>
      </c>
      <c r="J554" s="36" t="s">
        <v>836</v>
      </c>
      <c r="K554" s="46"/>
    </row>
    <row r="555" spans="1:11" x14ac:dyDescent="0.2">
      <c r="A555" s="6">
        <v>583</v>
      </c>
      <c r="B555" s="6" t="s">
        <v>120</v>
      </c>
      <c r="C555" s="6" t="s">
        <v>114</v>
      </c>
      <c r="D555" s="42" t="s">
        <v>921</v>
      </c>
      <c r="E555" s="38" t="s">
        <v>679</v>
      </c>
      <c r="F555" s="49">
        <v>18.75</v>
      </c>
      <c r="G555" s="63">
        <v>2830</v>
      </c>
      <c r="H555" s="36" t="s">
        <v>656</v>
      </c>
      <c r="I555" s="36" t="s">
        <v>73</v>
      </c>
      <c r="J555" s="36" t="s">
        <v>836</v>
      </c>
      <c r="K555" s="46"/>
    </row>
    <row r="556" spans="1:11" x14ac:dyDescent="0.2">
      <c r="A556" s="5">
        <v>584</v>
      </c>
      <c r="B556" s="6" t="s">
        <v>120</v>
      </c>
      <c r="C556" s="6" t="s">
        <v>114</v>
      </c>
      <c r="D556" s="42" t="s">
        <v>922</v>
      </c>
      <c r="E556" s="38" t="s">
        <v>679</v>
      </c>
      <c r="F556" s="49">
        <v>53.55</v>
      </c>
      <c r="G556" s="63">
        <v>2830</v>
      </c>
      <c r="H556" s="36" t="s">
        <v>656</v>
      </c>
      <c r="I556" s="36" t="s">
        <v>109</v>
      </c>
      <c r="J556" s="36" t="s">
        <v>836</v>
      </c>
      <c r="K556" s="46"/>
    </row>
    <row r="557" spans="1:11" x14ac:dyDescent="0.2">
      <c r="A557" s="5">
        <v>585</v>
      </c>
      <c r="B557" s="6" t="s">
        <v>120</v>
      </c>
      <c r="C557" s="6" t="s">
        <v>114</v>
      </c>
      <c r="D557" s="42" t="s">
        <v>923</v>
      </c>
      <c r="E557" s="38" t="s">
        <v>679</v>
      </c>
      <c r="F557" s="49">
        <v>38.35</v>
      </c>
      <c r="G557" s="63">
        <v>2830</v>
      </c>
      <c r="H557" s="36" t="s">
        <v>656</v>
      </c>
      <c r="I557" s="36" t="s">
        <v>88</v>
      </c>
      <c r="J557" s="36" t="s">
        <v>836</v>
      </c>
      <c r="K557" s="46"/>
    </row>
    <row r="558" spans="1:11" x14ac:dyDescent="0.2">
      <c r="A558" s="6">
        <v>592</v>
      </c>
      <c r="B558" s="6" t="s">
        <v>120</v>
      </c>
      <c r="C558" s="6" t="s">
        <v>114</v>
      </c>
      <c r="D558" s="42" t="s">
        <v>926</v>
      </c>
      <c r="E558" s="38" t="s">
        <v>847</v>
      </c>
      <c r="F558" s="49">
        <v>71.45</v>
      </c>
      <c r="G558" s="63">
        <v>2830</v>
      </c>
      <c r="H558" s="36" t="s">
        <v>656</v>
      </c>
      <c r="I558" s="36" t="s">
        <v>9</v>
      </c>
      <c r="J558" s="36" t="s">
        <v>836</v>
      </c>
      <c r="K558" s="46"/>
    </row>
    <row r="559" spans="1:11" ht="30" x14ac:dyDescent="0.2">
      <c r="A559" s="5">
        <v>173</v>
      </c>
      <c r="B559" s="6" t="s">
        <v>116</v>
      </c>
      <c r="C559" s="6" t="s">
        <v>113</v>
      </c>
      <c r="D559" s="42" t="s">
        <v>1218</v>
      </c>
      <c r="E559" s="38" t="s">
        <v>1219</v>
      </c>
      <c r="F559" s="114">
        <v>11.6</v>
      </c>
      <c r="G559" s="124">
        <v>2610</v>
      </c>
      <c r="H559" s="36" t="s">
        <v>1216</v>
      </c>
      <c r="I559" s="36" t="s">
        <v>51</v>
      </c>
      <c r="J559" s="36" t="s">
        <v>1220</v>
      </c>
      <c r="K559" s="46" t="s">
        <v>61</v>
      </c>
    </row>
    <row r="560" spans="1:11" ht="30" x14ac:dyDescent="0.2">
      <c r="A560" s="5">
        <v>192</v>
      </c>
      <c r="B560" s="6" t="s">
        <v>116</v>
      </c>
      <c r="C560" s="6" t="s">
        <v>113</v>
      </c>
      <c r="D560" s="42" t="s">
        <v>1231</v>
      </c>
      <c r="E560" s="38" t="s">
        <v>1232</v>
      </c>
      <c r="F560" s="126">
        <v>30.3</v>
      </c>
      <c r="G560" s="123">
        <v>2610</v>
      </c>
      <c r="H560" s="36" t="s">
        <v>642</v>
      </c>
      <c r="I560" s="36" t="s">
        <v>51</v>
      </c>
      <c r="J560" s="36" t="s">
        <v>1233</v>
      </c>
      <c r="K560" s="46" t="s">
        <v>61</v>
      </c>
    </row>
    <row r="561" spans="1:11" ht="45" x14ac:dyDescent="0.2">
      <c r="A561" s="5">
        <v>171</v>
      </c>
      <c r="B561" s="6" t="s">
        <v>116</v>
      </c>
      <c r="C561" s="6" t="s">
        <v>113</v>
      </c>
      <c r="D561" s="64" t="s">
        <v>1335</v>
      </c>
      <c r="E561" s="65" t="s">
        <v>1336</v>
      </c>
      <c r="F561" s="163">
        <v>161.65</v>
      </c>
      <c r="G561" s="134">
        <v>2610</v>
      </c>
      <c r="H561" s="53" t="s">
        <v>1337</v>
      </c>
      <c r="I561" s="53" t="s">
        <v>60</v>
      </c>
      <c r="J561" s="53" t="s">
        <v>1338</v>
      </c>
      <c r="K561" s="68" t="s">
        <v>61</v>
      </c>
    </row>
    <row r="562" spans="1:11" x14ac:dyDescent="0.2">
      <c r="A562" s="6">
        <v>4</v>
      </c>
      <c r="B562" s="6" t="s">
        <v>111</v>
      </c>
      <c r="C562" s="6" t="s">
        <v>112</v>
      </c>
      <c r="D562" s="140"/>
      <c r="E562" s="38" t="s">
        <v>1269</v>
      </c>
      <c r="F562" s="141"/>
      <c r="G562" s="40"/>
      <c r="H562" s="40"/>
      <c r="I562" s="40"/>
      <c r="J562" s="40"/>
      <c r="K562" s="44"/>
    </row>
    <row r="563" spans="1:11" x14ac:dyDescent="0.2">
      <c r="A563" s="5">
        <v>5</v>
      </c>
      <c r="B563" s="6" t="s">
        <v>111</v>
      </c>
      <c r="C563" s="6" t="s">
        <v>112</v>
      </c>
      <c r="D563" s="140"/>
      <c r="E563" s="38" t="s">
        <v>1270</v>
      </c>
      <c r="F563" s="141"/>
      <c r="G563" s="40"/>
      <c r="H563" s="40"/>
      <c r="I563" s="40"/>
      <c r="J563" s="40"/>
      <c r="K563" s="44"/>
    </row>
    <row r="564" spans="1:11" x14ac:dyDescent="0.2">
      <c r="A564" s="6">
        <v>7</v>
      </c>
      <c r="B564" s="6" t="s">
        <v>111</v>
      </c>
      <c r="C564" s="6" t="s">
        <v>112</v>
      </c>
      <c r="D564" s="42" t="s">
        <v>978</v>
      </c>
      <c r="E564" s="38" t="s">
        <v>660</v>
      </c>
      <c r="F564" s="49">
        <v>6.15</v>
      </c>
      <c r="G564" s="40" t="s">
        <v>9</v>
      </c>
      <c r="H564" s="36" t="s">
        <v>607</v>
      </c>
      <c r="I564" s="36" t="s">
        <v>1</v>
      </c>
      <c r="J564" s="40"/>
      <c r="K564" s="44"/>
    </row>
    <row r="565" spans="1:11" x14ac:dyDescent="0.2">
      <c r="A565" s="5">
        <v>8</v>
      </c>
      <c r="B565" s="6" t="s">
        <v>111</v>
      </c>
      <c r="C565" s="6" t="s">
        <v>112</v>
      </c>
      <c r="D565" s="42" t="s">
        <v>979</v>
      </c>
      <c r="E565" s="38" t="s">
        <v>644</v>
      </c>
      <c r="F565" s="49">
        <v>4.5</v>
      </c>
      <c r="G565" s="40" t="s">
        <v>9</v>
      </c>
      <c r="H565" s="36" t="s">
        <v>607</v>
      </c>
      <c r="I565" s="36" t="s">
        <v>1</v>
      </c>
      <c r="J565" s="40"/>
      <c r="K565" s="44"/>
    </row>
    <row r="566" spans="1:11" x14ac:dyDescent="0.2">
      <c r="A566" s="5">
        <v>48</v>
      </c>
      <c r="B566" s="6" t="s">
        <v>111</v>
      </c>
      <c r="C566" s="6" t="s">
        <v>113</v>
      </c>
      <c r="D566" s="140"/>
      <c r="E566" s="38" t="s">
        <v>1273</v>
      </c>
      <c r="F566" s="141"/>
      <c r="G566" s="40"/>
      <c r="H566" s="76"/>
      <c r="I566" s="76"/>
      <c r="J566" s="40"/>
      <c r="K566" s="44"/>
    </row>
    <row r="567" spans="1:11" x14ac:dyDescent="0.2">
      <c r="A567" s="6">
        <v>49</v>
      </c>
      <c r="B567" s="6" t="s">
        <v>111</v>
      </c>
      <c r="C567" s="6" t="s">
        <v>113</v>
      </c>
      <c r="D567" s="140"/>
      <c r="E567" s="38" t="s">
        <v>1270</v>
      </c>
      <c r="F567" s="141"/>
      <c r="G567" s="40"/>
      <c r="H567" s="76"/>
      <c r="I567" s="76"/>
      <c r="J567" s="40"/>
      <c r="K567" s="44"/>
    </row>
    <row r="568" spans="1:11" x14ac:dyDescent="0.2">
      <c r="A568" s="5">
        <v>78</v>
      </c>
      <c r="B568" s="6" t="s">
        <v>111</v>
      </c>
      <c r="C568" s="6" t="s">
        <v>114</v>
      </c>
      <c r="D568" s="140"/>
      <c r="E568" s="38" t="s">
        <v>1274</v>
      </c>
      <c r="F568" s="141"/>
      <c r="G568" s="40"/>
      <c r="H568" s="40"/>
      <c r="I568" s="40"/>
      <c r="J568" s="40"/>
      <c r="K568" s="44"/>
    </row>
    <row r="569" spans="1:11" x14ac:dyDescent="0.2">
      <c r="A569" s="6">
        <v>79</v>
      </c>
      <c r="B569" s="6" t="s">
        <v>111</v>
      </c>
      <c r="C569" s="6" t="s">
        <v>114</v>
      </c>
      <c r="D569" s="140"/>
      <c r="E569" s="38" t="s">
        <v>1270</v>
      </c>
      <c r="F569" s="141"/>
      <c r="G569" s="40"/>
      <c r="H569" s="40"/>
      <c r="I569" s="40"/>
      <c r="J569" s="40"/>
      <c r="K569" s="44"/>
    </row>
    <row r="570" spans="1:11" x14ac:dyDescent="0.2">
      <c r="A570" s="5">
        <v>107</v>
      </c>
      <c r="B570" s="6" t="s">
        <v>116</v>
      </c>
      <c r="C570" s="6" t="s">
        <v>112</v>
      </c>
      <c r="D570" s="142"/>
      <c r="E570" s="38" t="s">
        <v>1275</v>
      </c>
      <c r="F570" s="141"/>
      <c r="G570" s="40"/>
      <c r="H570" s="40"/>
      <c r="I570" s="76"/>
      <c r="J570" s="40"/>
      <c r="K570" s="41"/>
    </row>
    <row r="571" spans="1:11" x14ac:dyDescent="0.2">
      <c r="A571" s="5">
        <v>108</v>
      </c>
      <c r="B571" s="6" t="s">
        <v>116</v>
      </c>
      <c r="C571" s="6" t="s">
        <v>112</v>
      </c>
      <c r="D571" s="142"/>
      <c r="E571" s="38" t="s">
        <v>1276</v>
      </c>
      <c r="F571" s="141"/>
      <c r="G571" s="40"/>
      <c r="H571" s="40"/>
      <c r="I571" s="76"/>
      <c r="J571" s="40"/>
      <c r="K571" s="41"/>
    </row>
    <row r="572" spans="1:11" x14ac:dyDescent="0.2">
      <c r="A572" s="5">
        <v>110</v>
      </c>
      <c r="B572" s="6" t="s">
        <v>116</v>
      </c>
      <c r="C572" s="6" t="s">
        <v>112</v>
      </c>
      <c r="D572" s="37" t="s">
        <v>618</v>
      </c>
      <c r="E572" s="38" t="s">
        <v>619</v>
      </c>
      <c r="F572" s="39">
        <v>6.15</v>
      </c>
      <c r="G572" s="40" t="s">
        <v>9</v>
      </c>
      <c r="H572" s="40" t="s">
        <v>9</v>
      </c>
      <c r="I572" s="36" t="s">
        <v>8</v>
      </c>
      <c r="J572" s="40"/>
      <c r="K572" s="41"/>
    </row>
    <row r="573" spans="1:11" x14ac:dyDescent="0.2">
      <c r="A573" s="5">
        <v>111</v>
      </c>
      <c r="B573" s="6" t="s">
        <v>116</v>
      </c>
      <c r="C573" s="6" t="s">
        <v>112</v>
      </c>
      <c r="D573" s="37" t="s">
        <v>620</v>
      </c>
      <c r="E573" s="38" t="s">
        <v>621</v>
      </c>
      <c r="F573" s="39">
        <v>4.5</v>
      </c>
      <c r="G573" s="40" t="s">
        <v>9</v>
      </c>
      <c r="H573" s="40" t="s">
        <v>9</v>
      </c>
      <c r="I573" s="36" t="s">
        <v>8</v>
      </c>
      <c r="J573" s="40"/>
      <c r="K573" s="41"/>
    </row>
    <row r="574" spans="1:11" ht="30" x14ac:dyDescent="0.2">
      <c r="A574" s="5">
        <v>114</v>
      </c>
      <c r="B574" s="6" t="s">
        <v>116</v>
      </c>
      <c r="C574" s="6" t="s">
        <v>112</v>
      </c>
      <c r="D574" s="37" t="s">
        <v>1018</v>
      </c>
      <c r="E574" s="38" t="s">
        <v>1019</v>
      </c>
      <c r="F574" s="39">
        <v>13.05</v>
      </c>
      <c r="G574" s="78">
        <v>2610</v>
      </c>
      <c r="H574" s="36" t="s">
        <v>605</v>
      </c>
      <c r="I574" s="36" t="s">
        <v>34</v>
      </c>
      <c r="J574" s="36"/>
      <c r="K574" s="79" t="s">
        <v>35</v>
      </c>
    </row>
    <row r="575" spans="1:11" x14ac:dyDescent="0.2">
      <c r="A575" s="5">
        <v>140</v>
      </c>
      <c r="B575" s="6" t="s">
        <v>116</v>
      </c>
      <c r="C575" s="6" t="s">
        <v>112</v>
      </c>
      <c r="D575" s="37" t="s">
        <v>1277</v>
      </c>
      <c r="E575" s="38" t="s">
        <v>1278</v>
      </c>
      <c r="F575" s="39">
        <v>41.8</v>
      </c>
      <c r="G575" s="40"/>
      <c r="H575" s="40"/>
      <c r="I575" s="40"/>
      <c r="J575" s="40"/>
      <c r="K575" s="41"/>
    </row>
    <row r="576" spans="1:11" x14ac:dyDescent="0.2">
      <c r="A576" s="5">
        <v>146</v>
      </c>
      <c r="B576" s="6" t="s">
        <v>116</v>
      </c>
      <c r="C576" s="6" t="s">
        <v>113</v>
      </c>
      <c r="D576" s="140"/>
      <c r="E576" s="38" t="s">
        <v>1279</v>
      </c>
      <c r="F576" s="141"/>
      <c r="G576" s="40"/>
      <c r="H576" s="40"/>
      <c r="I576" s="40"/>
      <c r="J576" s="40"/>
      <c r="K576" s="44"/>
    </row>
    <row r="577" spans="1:11" x14ac:dyDescent="0.2">
      <c r="A577" s="5">
        <v>147</v>
      </c>
      <c r="B577" s="6" t="s">
        <v>116</v>
      </c>
      <c r="C577" s="6" t="s">
        <v>113</v>
      </c>
      <c r="D577" s="140"/>
      <c r="E577" s="38" t="s">
        <v>1280</v>
      </c>
      <c r="F577" s="141"/>
      <c r="G577" s="40"/>
      <c r="H577" s="40"/>
      <c r="I577" s="40"/>
      <c r="J577" s="40"/>
      <c r="K577" s="44"/>
    </row>
    <row r="578" spans="1:11" x14ac:dyDescent="0.2">
      <c r="A578" s="6">
        <v>211</v>
      </c>
      <c r="B578" s="6" t="s">
        <v>116</v>
      </c>
      <c r="C578" s="6" t="s">
        <v>114</v>
      </c>
      <c r="D578" s="140"/>
      <c r="E578" s="38" t="s">
        <v>1281</v>
      </c>
      <c r="F578" s="141"/>
      <c r="G578" s="40"/>
      <c r="H578" s="40"/>
      <c r="I578" s="40"/>
      <c r="J578" s="40"/>
      <c r="K578" s="44"/>
    </row>
    <row r="579" spans="1:11" x14ac:dyDescent="0.2">
      <c r="A579" s="5">
        <v>212</v>
      </c>
      <c r="B579" s="6" t="s">
        <v>116</v>
      </c>
      <c r="C579" s="6" t="s">
        <v>114</v>
      </c>
      <c r="D579" s="140"/>
      <c r="E579" s="38" t="s">
        <v>1276</v>
      </c>
      <c r="F579" s="141"/>
      <c r="G579" s="40"/>
      <c r="H579" s="40"/>
      <c r="I579" s="40"/>
      <c r="J579" s="40"/>
      <c r="K579" s="44"/>
    </row>
    <row r="580" spans="1:11" x14ac:dyDescent="0.2">
      <c r="A580" s="6">
        <v>232</v>
      </c>
      <c r="B580" s="6" t="s">
        <v>116</v>
      </c>
      <c r="C580" s="6" t="s">
        <v>114</v>
      </c>
      <c r="D580" s="140"/>
      <c r="E580" s="38" t="s">
        <v>1282</v>
      </c>
      <c r="F580" s="141"/>
      <c r="G580" s="40"/>
      <c r="H580" s="76"/>
      <c r="I580" s="76"/>
      <c r="J580" s="76"/>
      <c r="K580" s="44"/>
    </row>
    <row r="581" spans="1:11" x14ac:dyDescent="0.2">
      <c r="A581" s="5">
        <v>233</v>
      </c>
      <c r="B581" s="6" t="s">
        <v>116</v>
      </c>
      <c r="C581" s="6" t="s">
        <v>114</v>
      </c>
      <c r="D581" s="140"/>
      <c r="E581" s="38" t="s">
        <v>1276</v>
      </c>
      <c r="F581" s="141"/>
      <c r="G581" s="40"/>
      <c r="H581" s="76"/>
      <c r="I581" s="76"/>
      <c r="J581" s="76"/>
      <c r="K581" s="44"/>
    </row>
    <row r="582" spans="1:11" ht="30" x14ac:dyDescent="0.2">
      <c r="A582" s="6">
        <v>241</v>
      </c>
      <c r="B582" s="6" t="s">
        <v>116</v>
      </c>
      <c r="C582" s="6" t="s">
        <v>117</v>
      </c>
      <c r="D582" s="42" t="s">
        <v>1234</v>
      </c>
      <c r="E582" s="38" t="s">
        <v>1235</v>
      </c>
      <c r="F582" s="39">
        <v>34.6</v>
      </c>
      <c r="G582" s="40" t="s">
        <v>9</v>
      </c>
      <c r="H582" s="36" t="s">
        <v>1236</v>
      </c>
      <c r="I582" s="36" t="s">
        <v>75</v>
      </c>
      <c r="J582" s="76"/>
      <c r="K582" s="44"/>
    </row>
    <row r="583" spans="1:11" ht="30" x14ac:dyDescent="0.2">
      <c r="A583" s="5">
        <v>242</v>
      </c>
      <c r="B583" s="6" t="s">
        <v>116</v>
      </c>
      <c r="C583" s="6" t="s">
        <v>117</v>
      </c>
      <c r="D583" s="42" t="s">
        <v>1237</v>
      </c>
      <c r="E583" s="38" t="s">
        <v>1235</v>
      </c>
      <c r="F583" s="39">
        <v>86.85</v>
      </c>
      <c r="G583" s="40" t="s">
        <v>9</v>
      </c>
      <c r="H583" s="36" t="s">
        <v>1236</v>
      </c>
      <c r="I583" s="36" t="s">
        <v>76</v>
      </c>
      <c r="J583" s="76"/>
      <c r="K583" s="44"/>
    </row>
    <row r="584" spans="1:11" x14ac:dyDescent="0.2">
      <c r="A584" s="5">
        <v>243</v>
      </c>
      <c r="B584" s="6" t="s">
        <v>116</v>
      </c>
      <c r="C584" s="6" t="s">
        <v>117</v>
      </c>
      <c r="D584" s="42" t="s">
        <v>1260</v>
      </c>
      <c r="E584" s="38" t="s">
        <v>1261</v>
      </c>
      <c r="F584" s="39">
        <v>49</v>
      </c>
      <c r="G584" s="40" t="s">
        <v>9</v>
      </c>
      <c r="H584" s="36" t="s">
        <v>1262</v>
      </c>
      <c r="I584" s="36" t="s">
        <v>75</v>
      </c>
      <c r="J584" s="76"/>
      <c r="K584" s="44"/>
    </row>
    <row r="585" spans="1:11" x14ac:dyDescent="0.2">
      <c r="A585" s="6">
        <v>271</v>
      </c>
      <c r="B585" s="6" t="s">
        <v>118</v>
      </c>
      <c r="C585" s="6" t="s">
        <v>112</v>
      </c>
      <c r="D585" s="140"/>
      <c r="E585" s="38" t="s">
        <v>1269</v>
      </c>
      <c r="F585" s="141"/>
      <c r="G585" s="40"/>
      <c r="H585" s="40"/>
      <c r="I585" s="40"/>
      <c r="J585" s="40"/>
      <c r="K585" s="44"/>
    </row>
    <row r="586" spans="1:11" x14ac:dyDescent="0.2">
      <c r="A586" s="5">
        <v>272</v>
      </c>
      <c r="B586" s="6" t="s">
        <v>118</v>
      </c>
      <c r="C586" s="6" t="s">
        <v>112</v>
      </c>
      <c r="D586" s="140"/>
      <c r="E586" s="38" t="s">
        <v>1270</v>
      </c>
      <c r="F586" s="141"/>
      <c r="G586" s="40"/>
      <c r="H586" s="40"/>
      <c r="I586" s="40"/>
      <c r="J586" s="40"/>
      <c r="K586" s="44"/>
    </row>
    <row r="587" spans="1:11" x14ac:dyDescent="0.2">
      <c r="A587" s="5">
        <v>287</v>
      </c>
      <c r="B587" s="6" t="s">
        <v>118</v>
      </c>
      <c r="C587" s="6" t="s">
        <v>112</v>
      </c>
      <c r="D587" s="42" t="s">
        <v>1283</v>
      </c>
      <c r="E587" s="38" t="s">
        <v>1284</v>
      </c>
      <c r="F587" s="141"/>
      <c r="G587" s="40"/>
      <c r="H587" s="40"/>
      <c r="I587" s="40"/>
      <c r="J587" s="40"/>
      <c r="K587" s="44"/>
    </row>
    <row r="588" spans="1:11" x14ac:dyDescent="0.2">
      <c r="A588" s="5">
        <v>288</v>
      </c>
      <c r="B588" s="6" t="s">
        <v>118</v>
      </c>
      <c r="C588" s="6" t="s">
        <v>112</v>
      </c>
      <c r="D588" s="42" t="s">
        <v>1285</v>
      </c>
      <c r="E588" s="38" t="s">
        <v>1284</v>
      </c>
      <c r="F588" s="141"/>
      <c r="G588" s="40"/>
      <c r="H588" s="40"/>
      <c r="I588" s="40"/>
      <c r="J588" s="40"/>
      <c r="K588" s="44"/>
    </row>
    <row r="589" spans="1:11" x14ac:dyDescent="0.2">
      <c r="A589" s="6">
        <v>295</v>
      </c>
      <c r="B589" s="6" t="s">
        <v>118</v>
      </c>
      <c r="C589" s="6" t="s">
        <v>112</v>
      </c>
      <c r="D589" s="140"/>
      <c r="E589" s="38" t="s">
        <v>1286</v>
      </c>
      <c r="F589" s="141"/>
      <c r="G589" s="40"/>
      <c r="H589" s="40"/>
      <c r="I589" s="40"/>
      <c r="J589" s="40"/>
      <c r="K589" s="44"/>
    </row>
    <row r="590" spans="1:11" x14ac:dyDescent="0.2">
      <c r="A590" s="6">
        <v>310</v>
      </c>
      <c r="B590" s="6" t="s">
        <v>118</v>
      </c>
      <c r="C590" s="6" t="s">
        <v>113</v>
      </c>
      <c r="D590" s="140"/>
      <c r="E590" s="38" t="s">
        <v>1273</v>
      </c>
      <c r="F590" s="141"/>
      <c r="G590" s="40"/>
      <c r="H590" s="40"/>
      <c r="I590" s="40"/>
      <c r="J590" s="40"/>
      <c r="K590" s="51"/>
    </row>
    <row r="591" spans="1:11" x14ac:dyDescent="0.2">
      <c r="A591" s="5">
        <v>311</v>
      </c>
      <c r="B591" s="6" t="s">
        <v>118</v>
      </c>
      <c r="C591" s="6" t="s">
        <v>113</v>
      </c>
      <c r="D591" s="140"/>
      <c r="E591" s="38" t="s">
        <v>1270</v>
      </c>
      <c r="F591" s="141"/>
      <c r="G591" s="40"/>
      <c r="H591" s="40"/>
      <c r="I591" s="40"/>
      <c r="J591" s="40"/>
      <c r="K591" s="51"/>
    </row>
    <row r="592" spans="1:11" x14ac:dyDescent="0.2">
      <c r="A592" s="6">
        <v>313</v>
      </c>
      <c r="B592" s="6" t="s">
        <v>118</v>
      </c>
      <c r="C592" s="6" t="s">
        <v>113</v>
      </c>
      <c r="D592" s="42" t="s">
        <v>646</v>
      </c>
      <c r="E592" s="38" t="s">
        <v>641</v>
      </c>
      <c r="F592" s="49">
        <v>6.1</v>
      </c>
      <c r="G592" s="40" t="s">
        <v>9</v>
      </c>
      <c r="H592" s="40" t="s">
        <v>9</v>
      </c>
      <c r="I592" s="36" t="s">
        <v>8</v>
      </c>
      <c r="J592" s="40"/>
      <c r="K592" s="51"/>
    </row>
    <row r="593" spans="1:11" x14ac:dyDescent="0.2">
      <c r="A593" s="5">
        <v>314</v>
      </c>
      <c r="B593" s="6" t="s">
        <v>118</v>
      </c>
      <c r="C593" s="6" t="s">
        <v>113</v>
      </c>
      <c r="D593" s="42" t="s">
        <v>648</v>
      </c>
      <c r="E593" s="38" t="s">
        <v>644</v>
      </c>
      <c r="F593" s="49">
        <v>4.4000000000000004</v>
      </c>
      <c r="G593" s="40" t="s">
        <v>9</v>
      </c>
      <c r="H593" s="40" t="s">
        <v>9</v>
      </c>
      <c r="I593" s="36" t="s">
        <v>8</v>
      </c>
      <c r="J593" s="40"/>
      <c r="K593" s="51"/>
    </row>
    <row r="594" spans="1:11" x14ac:dyDescent="0.2">
      <c r="A594" s="5">
        <v>326</v>
      </c>
      <c r="B594" s="6" t="s">
        <v>118</v>
      </c>
      <c r="C594" s="6" t="s">
        <v>113</v>
      </c>
      <c r="D594" s="42" t="s">
        <v>1287</v>
      </c>
      <c r="E594" s="38" t="s">
        <v>1284</v>
      </c>
      <c r="F594" s="141"/>
      <c r="G594" s="40"/>
      <c r="H594" s="40"/>
      <c r="I594" s="40"/>
      <c r="J594" s="40"/>
      <c r="K594" s="51"/>
    </row>
    <row r="595" spans="1:11" x14ac:dyDescent="0.2">
      <c r="A595" s="5">
        <v>327</v>
      </c>
      <c r="B595" s="6" t="s">
        <v>118</v>
      </c>
      <c r="C595" s="6" t="s">
        <v>113</v>
      </c>
      <c r="D595" s="64" t="s">
        <v>1288</v>
      </c>
      <c r="E595" s="65" t="s">
        <v>1284</v>
      </c>
      <c r="F595" s="144"/>
      <c r="G595" s="113"/>
      <c r="H595" s="113"/>
      <c r="I595" s="113"/>
      <c r="J595" s="113"/>
      <c r="K595" s="145"/>
    </row>
    <row r="596" spans="1:11" x14ac:dyDescent="0.2">
      <c r="A596" s="6">
        <v>334</v>
      </c>
      <c r="B596" s="6" t="s">
        <v>118</v>
      </c>
      <c r="C596" s="6" t="s">
        <v>113</v>
      </c>
      <c r="D596" s="140"/>
      <c r="E596" s="38" t="s">
        <v>1286</v>
      </c>
      <c r="F596" s="141"/>
      <c r="G596" s="40"/>
      <c r="H596" s="40"/>
      <c r="I596" s="40"/>
      <c r="J596" s="40"/>
      <c r="K596" s="51"/>
    </row>
    <row r="597" spans="1:11" x14ac:dyDescent="0.2">
      <c r="A597" s="6">
        <v>349</v>
      </c>
      <c r="B597" s="6" t="s">
        <v>118</v>
      </c>
      <c r="C597" s="6" t="s">
        <v>114</v>
      </c>
      <c r="D597" s="140"/>
      <c r="E597" s="38" t="s">
        <v>1281</v>
      </c>
      <c r="F597" s="141"/>
      <c r="G597" s="40"/>
      <c r="H597" s="40"/>
      <c r="I597" s="40"/>
      <c r="J597" s="40"/>
      <c r="K597" s="44"/>
    </row>
    <row r="598" spans="1:11" x14ac:dyDescent="0.2">
      <c r="A598" s="5">
        <v>350</v>
      </c>
      <c r="B598" s="6" t="s">
        <v>118</v>
      </c>
      <c r="C598" s="6" t="s">
        <v>114</v>
      </c>
      <c r="D598" s="140"/>
      <c r="E598" s="38" t="s">
        <v>1276</v>
      </c>
      <c r="F598" s="141"/>
      <c r="G598" s="40"/>
      <c r="H598" s="40"/>
      <c r="I598" s="40"/>
      <c r="J598" s="40"/>
      <c r="K598" s="44"/>
    </row>
    <row r="599" spans="1:11" x14ac:dyDescent="0.2">
      <c r="A599" s="6">
        <v>364</v>
      </c>
      <c r="B599" s="6" t="s">
        <v>118</v>
      </c>
      <c r="C599" s="6" t="s">
        <v>114</v>
      </c>
      <c r="D599" s="42" t="s">
        <v>1289</v>
      </c>
      <c r="E599" s="38" t="s">
        <v>1290</v>
      </c>
      <c r="F599" s="141"/>
      <c r="G599" s="40"/>
      <c r="H599" s="40"/>
      <c r="I599" s="40"/>
      <c r="J599" s="40"/>
      <c r="K599" s="44"/>
    </row>
    <row r="600" spans="1:11" x14ac:dyDescent="0.2">
      <c r="A600" s="5">
        <v>365</v>
      </c>
      <c r="B600" s="6" t="s">
        <v>118</v>
      </c>
      <c r="C600" s="6" t="s">
        <v>114</v>
      </c>
      <c r="D600" s="42" t="s">
        <v>1291</v>
      </c>
      <c r="E600" s="38" t="s">
        <v>1290</v>
      </c>
      <c r="F600" s="141"/>
      <c r="G600" s="40"/>
      <c r="H600" s="40"/>
      <c r="I600" s="40"/>
      <c r="J600" s="40"/>
      <c r="K600" s="44"/>
    </row>
    <row r="601" spans="1:11" x14ac:dyDescent="0.2">
      <c r="A601" s="5">
        <v>368</v>
      </c>
      <c r="B601" s="6" t="s">
        <v>118</v>
      </c>
      <c r="C601" s="6" t="s">
        <v>114</v>
      </c>
      <c r="D601" s="140"/>
      <c r="E601" s="38" t="s">
        <v>1292</v>
      </c>
      <c r="F601" s="141"/>
      <c r="G601" s="40"/>
      <c r="H601" s="40"/>
      <c r="I601" s="40"/>
      <c r="J601" s="40"/>
      <c r="K601" s="44"/>
    </row>
    <row r="602" spans="1:11" x14ac:dyDescent="0.2">
      <c r="A602" s="5">
        <v>380</v>
      </c>
      <c r="B602" s="6" t="s">
        <v>119</v>
      </c>
      <c r="C602" s="6" t="s">
        <v>112</v>
      </c>
      <c r="D602" s="140"/>
      <c r="E602" s="38" t="s">
        <v>1275</v>
      </c>
      <c r="F602" s="141"/>
      <c r="G602" s="40"/>
      <c r="H602" s="40"/>
      <c r="I602" s="40"/>
      <c r="J602" s="40"/>
      <c r="K602" s="44"/>
    </row>
    <row r="603" spans="1:11" x14ac:dyDescent="0.2">
      <c r="A603" s="5">
        <v>381</v>
      </c>
      <c r="B603" s="6" t="s">
        <v>119</v>
      </c>
      <c r="C603" s="6" t="s">
        <v>112</v>
      </c>
      <c r="D603" s="140"/>
      <c r="E603" s="38" t="s">
        <v>1276</v>
      </c>
      <c r="F603" s="141"/>
      <c r="G603" s="40"/>
      <c r="H603" s="40"/>
      <c r="I603" s="40"/>
      <c r="J603" s="40"/>
      <c r="K603" s="44"/>
    </row>
    <row r="604" spans="1:11" x14ac:dyDescent="0.2">
      <c r="A604" s="5">
        <v>396</v>
      </c>
      <c r="B604" s="6" t="s">
        <v>119</v>
      </c>
      <c r="C604" s="6" t="s">
        <v>112</v>
      </c>
      <c r="D604" s="42" t="s">
        <v>1293</v>
      </c>
      <c r="E604" s="38" t="s">
        <v>1290</v>
      </c>
      <c r="F604" s="141"/>
      <c r="G604" s="40"/>
      <c r="H604" s="40"/>
      <c r="I604" s="40"/>
      <c r="J604" s="40"/>
      <c r="K604" s="44"/>
    </row>
    <row r="605" spans="1:11" x14ac:dyDescent="0.2">
      <c r="A605" s="6">
        <v>406</v>
      </c>
      <c r="B605" s="6" t="s">
        <v>119</v>
      </c>
      <c r="C605" s="6" t="s">
        <v>112</v>
      </c>
      <c r="D605" s="140"/>
      <c r="E605" s="38" t="s">
        <v>1292</v>
      </c>
      <c r="F605" s="141"/>
      <c r="G605" s="40"/>
      <c r="H605" s="40"/>
      <c r="I605" s="40"/>
      <c r="J605" s="40"/>
      <c r="K605" s="44"/>
    </row>
    <row r="606" spans="1:11" x14ac:dyDescent="0.2">
      <c r="A606" s="5">
        <v>420</v>
      </c>
      <c r="B606" s="6" t="s">
        <v>119</v>
      </c>
      <c r="C606" s="6" t="s">
        <v>113</v>
      </c>
      <c r="D606" s="140"/>
      <c r="E606" s="38" t="s">
        <v>1273</v>
      </c>
      <c r="F606" s="146"/>
      <c r="G606" s="40"/>
      <c r="H606" s="40"/>
      <c r="I606" s="40"/>
      <c r="J606" s="40"/>
      <c r="K606" s="44"/>
    </row>
    <row r="607" spans="1:11" x14ac:dyDescent="0.2">
      <c r="A607" s="6">
        <v>421</v>
      </c>
      <c r="B607" s="6" t="s">
        <v>119</v>
      </c>
      <c r="C607" s="6" t="s">
        <v>113</v>
      </c>
      <c r="D607" s="140"/>
      <c r="E607" s="38" t="s">
        <v>1270</v>
      </c>
      <c r="F607" s="146"/>
      <c r="G607" s="40"/>
      <c r="H607" s="40"/>
      <c r="I607" s="40"/>
      <c r="J607" s="40"/>
      <c r="K607" s="44"/>
    </row>
    <row r="608" spans="1:11" x14ac:dyDescent="0.2">
      <c r="A608" s="6">
        <v>445</v>
      </c>
      <c r="B608" s="6" t="s">
        <v>119</v>
      </c>
      <c r="C608" s="6" t="s">
        <v>113</v>
      </c>
      <c r="D608" s="140"/>
      <c r="E608" s="38" t="s">
        <v>1286</v>
      </c>
      <c r="F608" s="146"/>
      <c r="G608" s="40"/>
      <c r="H608" s="40"/>
      <c r="I608" s="40"/>
      <c r="J608" s="40"/>
      <c r="K608" s="44"/>
    </row>
    <row r="609" spans="1:11" x14ac:dyDescent="0.2">
      <c r="A609" s="5">
        <v>459</v>
      </c>
      <c r="B609" s="6" t="s">
        <v>119</v>
      </c>
      <c r="C609" s="6" t="s">
        <v>114</v>
      </c>
      <c r="D609" s="140"/>
      <c r="E609" s="38" t="s">
        <v>1274</v>
      </c>
      <c r="F609" s="141"/>
      <c r="G609" s="40"/>
      <c r="H609" s="40"/>
      <c r="I609" s="40"/>
      <c r="J609" s="40"/>
      <c r="K609" s="44"/>
    </row>
    <row r="610" spans="1:11" x14ac:dyDescent="0.2">
      <c r="A610" s="6">
        <v>460</v>
      </c>
      <c r="B610" s="6" t="s">
        <v>119</v>
      </c>
      <c r="C610" s="6" t="s">
        <v>114</v>
      </c>
      <c r="D610" s="140"/>
      <c r="E610" s="38" t="s">
        <v>1270</v>
      </c>
      <c r="F610" s="141"/>
      <c r="G610" s="40"/>
      <c r="H610" s="40"/>
      <c r="I610" s="40"/>
      <c r="J610" s="40"/>
      <c r="K610" s="44"/>
    </row>
    <row r="611" spans="1:11" x14ac:dyDescent="0.2">
      <c r="A611" s="6">
        <v>475</v>
      </c>
      <c r="B611" s="6" t="s">
        <v>119</v>
      </c>
      <c r="C611" s="6" t="s">
        <v>114</v>
      </c>
      <c r="D611" s="42" t="s">
        <v>1294</v>
      </c>
      <c r="E611" s="38" t="s">
        <v>1284</v>
      </c>
      <c r="F611" s="141"/>
      <c r="G611" s="40"/>
      <c r="H611" s="40"/>
      <c r="I611" s="40"/>
      <c r="J611" s="40"/>
      <c r="K611" s="44"/>
    </row>
    <row r="612" spans="1:11" x14ac:dyDescent="0.2">
      <c r="A612" s="5">
        <v>485</v>
      </c>
      <c r="B612" s="6" t="s">
        <v>119</v>
      </c>
      <c r="C612" s="6" t="s">
        <v>114</v>
      </c>
      <c r="D612" s="140"/>
      <c r="E612" s="38" t="s">
        <v>1286</v>
      </c>
      <c r="F612" s="141"/>
      <c r="G612" s="40"/>
      <c r="H612" s="40"/>
      <c r="I612" s="40"/>
      <c r="J612" s="40"/>
      <c r="K612" s="44"/>
    </row>
    <row r="613" spans="1:11" x14ac:dyDescent="0.2">
      <c r="A613" s="6">
        <v>499</v>
      </c>
      <c r="B613" s="6" t="s">
        <v>120</v>
      </c>
      <c r="C613" s="6" t="s">
        <v>112</v>
      </c>
      <c r="D613" s="140"/>
      <c r="E613" s="38" t="s">
        <v>1269</v>
      </c>
      <c r="F613" s="141"/>
      <c r="G613" s="40"/>
      <c r="H613" s="40"/>
      <c r="I613" s="40"/>
      <c r="J613" s="40"/>
      <c r="K613" s="51"/>
    </row>
    <row r="614" spans="1:11" x14ac:dyDescent="0.2">
      <c r="A614" s="5">
        <v>500</v>
      </c>
      <c r="B614" s="6" t="s">
        <v>120</v>
      </c>
      <c r="C614" s="6" t="s">
        <v>112</v>
      </c>
      <c r="D614" s="140"/>
      <c r="E614" s="38" t="s">
        <v>1270</v>
      </c>
      <c r="F614" s="141"/>
      <c r="G614" s="40"/>
      <c r="H614" s="40"/>
      <c r="I614" s="40"/>
      <c r="J614" s="40"/>
      <c r="K614" s="51"/>
    </row>
    <row r="615" spans="1:11" x14ac:dyDescent="0.2">
      <c r="A615" s="5">
        <v>515</v>
      </c>
      <c r="B615" s="6" t="s">
        <v>120</v>
      </c>
      <c r="C615" s="6" t="s">
        <v>112</v>
      </c>
      <c r="D615" s="42" t="s">
        <v>1295</v>
      </c>
      <c r="E615" s="38" t="s">
        <v>1284</v>
      </c>
      <c r="F615" s="141"/>
      <c r="G615" s="40"/>
      <c r="H615" s="40"/>
      <c r="I615" s="40"/>
      <c r="J615" s="40"/>
      <c r="K615" s="51"/>
    </row>
    <row r="616" spans="1:11" x14ac:dyDescent="0.2">
      <c r="A616" s="5">
        <v>516</v>
      </c>
      <c r="B616" s="6" t="s">
        <v>120</v>
      </c>
      <c r="C616" s="6" t="s">
        <v>112</v>
      </c>
      <c r="D616" s="42" t="s">
        <v>1296</v>
      </c>
      <c r="E616" s="38" t="s">
        <v>1284</v>
      </c>
      <c r="F616" s="141"/>
      <c r="G616" s="40"/>
      <c r="H616" s="40"/>
      <c r="I616" s="40"/>
      <c r="J616" s="40"/>
      <c r="K616" s="51"/>
    </row>
    <row r="617" spans="1:11" x14ac:dyDescent="0.2">
      <c r="A617" s="6">
        <v>523</v>
      </c>
      <c r="B617" s="6" t="s">
        <v>120</v>
      </c>
      <c r="C617" s="6" t="s">
        <v>112</v>
      </c>
      <c r="D617" s="140"/>
      <c r="E617" s="38" t="s">
        <v>1286</v>
      </c>
      <c r="F617" s="141"/>
      <c r="G617" s="40"/>
      <c r="H617" s="40"/>
      <c r="I617" s="40"/>
      <c r="J617" s="40"/>
      <c r="K617" s="51"/>
    </row>
    <row r="618" spans="1:11" x14ac:dyDescent="0.2">
      <c r="A618" s="6">
        <v>538</v>
      </c>
      <c r="B618" s="6" t="s">
        <v>120</v>
      </c>
      <c r="C618" s="6" t="s">
        <v>113</v>
      </c>
      <c r="D618" s="140"/>
      <c r="E618" s="38" t="s">
        <v>1273</v>
      </c>
      <c r="F618" s="141"/>
      <c r="G618" s="40"/>
      <c r="H618" s="40"/>
      <c r="I618" s="40"/>
      <c r="J618" s="40"/>
      <c r="K618" s="44"/>
    </row>
    <row r="619" spans="1:11" x14ac:dyDescent="0.2">
      <c r="A619" s="5">
        <v>539</v>
      </c>
      <c r="B619" s="6" t="s">
        <v>120</v>
      </c>
      <c r="C619" s="6" t="s">
        <v>113</v>
      </c>
      <c r="D619" s="140"/>
      <c r="E619" s="38" t="s">
        <v>1270</v>
      </c>
      <c r="F619" s="141"/>
      <c r="G619" s="40"/>
      <c r="H619" s="40"/>
      <c r="I619" s="40"/>
      <c r="J619" s="40"/>
      <c r="K619" s="44"/>
    </row>
    <row r="620" spans="1:11" x14ac:dyDescent="0.2">
      <c r="A620" s="5">
        <v>554</v>
      </c>
      <c r="B620" s="6" t="s">
        <v>120</v>
      </c>
      <c r="C620" s="6" t="s">
        <v>113</v>
      </c>
      <c r="D620" s="42" t="s">
        <v>1297</v>
      </c>
      <c r="E620" s="38" t="s">
        <v>1284</v>
      </c>
      <c r="F620" s="141"/>
      <c r="G620" s="40"/>
      <c r="H620" s="40"/>
      <c r="I620" s="40"/>
      <c r="J620" s="40"/>
      <c r="K620" s="44"/>
    </row>
    <row r="621" spans="1:11" x14ac:dyDescent="0.2">
      <c r="A621" s="5">
        <v>555</v>
      </c>
      <c r="B621" s="6" t="s">
        <v>120</v>
      </c>
      <c r="C621" s="6" t="s">
        <v>113</v>
      </c>
      <c r="D621" s="42" t="s">
        <v>1298</v>
      </c>
      <c r="E621" s="38" t="s">
        <v>1284</v>
      </c>
      <c r="F621" s="141"/>
      <c r="G621" s="40"/>
      <c r="H621" s="40"/>
      <c r="I621" s="40"/>
      <c r="J621" s="40"/>
      <c r="K621" s="44"/>
    </row>
    <row r="622" spans="1:11" x14ac:dyDescent="0.2">
      <c r="A622" s="6">
        <v>562</v>
      </c>
      <c r="B622" s="6" t="s">
        <v>120</v>
      </c>
      <c r="C622" s="6" t="s">
        <v>113</v>
      </c>
      <c r="D622" s="140"/>
      <c r="E622" s="38" t="s">
        <v>1286</v>
      </c>
      <c r="F622" s="141"/>
      <c r="G622" s="40"/>
      <c r="H622" s="40"/>
      <c r="I622" s="40"/>
      <c r="J622" s="40"/>
      <c r="K622" s="44"/>
    </row>
    <row r="623" spans="1:11" x14ac:dyDescent="0.2">
      <c r="A623" s="6">
        <v>577</v>
      </c>
      <c r="B623" s="6" t="s">
        <v>120</v>
      </c>
      <c r="C623" s="6" t="s">
        <v>114</v>
      </c>
      <c r="D623" s="140"/>
      <c r="E623" s="38" t="s">
        <v>1274</v>
      </c>
      <c r="F623" s="141"/>
      <c r="G623" s="40"/>
      <c r="H623" s="40"/>
      <c r="I623" s="40"/>
      <c r="J623" s="40"/>
      <c r="K623" s="44"/>
    </row>
    <row r="624" spans="1:11" x14ac:dyDescent="0.2">
      <c r="A624" s="5">
        <v>578</v>
      </c>
      <c r="B624" s="6" t="s">
        <v>120</v>
      </c>
      <c r="C624" s="6" t="s">
        <v>114</v>
      </c>
      <c r="D624" s="140"/>
      <c r="E624" s="38" t="s">
        <v>1270</v>
      </c>
      <c r="F624" s="141"/>
      <c r="G624" s="40"/>
      <c r="H624" s="40"/>
      <c r="I624" s="40"/>
      <c r="J624" s="40"/>
      <c r="K624" s="44"/>
    </row>
    <row r="625" spans="1:11" x14ac:dyDescent="0.2">
      <c r="A625" s="6">
        <v>580</v>
      </c>
      <c r="B625" s="6" t="s">
        <v>120</v>
      </c>
      <c r="C625" s="6" t="s">
        <v>114</v>
      </c>
      <c r="D625" s="42" t="s">
        <v>666</v>
      </c>
      <c r="E625" s="38" t="s">
        <v>660</v>
      </c>
      <c r="F625" s="49">
        <v>6.15</v>
      </c>
      <c r="G625" s="40" t="s">
        <v>9</v>
      </c>
      <c r="H625" s="40" t="s">
        <v>9</v>
      </c>
      <c r="I625" s="36" t="s">
        <v>8</v>
      </c>
      <c r="J625" s="40"/>
      <c r="K625" s="44"/>
    </row>
    <row r="626" spans="1:11" x14ac:dyDescent="0.2">
      <c r="A626" s="5">
        <v>581</v>
      </c>
      <c r="B626" s="6" t="s">
        <v>120</v>
      </c>
      <c r="C626" s="6" t="s">
        <v>114</v>
      </c>
      <c r="D626" s="42" t="s">
        <v>667</v>
      </c>
      <c r="E626" s="38" t="s">
        <v>644</v>
      </c>
      <c r="F626" s="49">
        <v>4.5</v>
      </c>
      <c r="G626" s="40" t="s">
        <v>9</v>
      </c>
      <c r="H626" s="40" t="s">
        <v>9</v>
      </c>
      <c r="I626" s="36" t="s">
        <v>8</v>
      </c>
      <c r="J626" s="40"/>
      <c r="K626" s="44"/>
    </row>
    <row r="627" spans="1:11" x14ac:dyDescent="0.2">
      <c r="A627" s="5">
        <v>593</v>
      </c>
      <c r="B627" s="6" t="s">
        <v>120</v>
      </c>
      <c r="C627" s="6" t="s">
        <v>114</v>
      </c>
      <c r="D627" s="42" t="s">
        <v>1299</v>
      </c>
      <c r="E627" s="38" t="s">
        <v>1284</v>
      </c>
      <c r="F627" s="141"/>
      <c r="G627" s="40"/>
      <c r="H627" s="40"/>
      <c r="I627" s="40"/>
      <c r="J627" s="40"/>
      <c r="K627" s="44"/>
    </row>
    <row r="628" spans="1:11" x14ac:dyDescent="0.2">
      <c r="A628" s="5">
        <v>594</v>
      </c>
      <c r="B628" s="6" t="s">
        <v>120</v>
      </c>
      <c r="C628" s="6" t="s">
        <v>114</v>
      </c>
      <c r="D628" s="42" t="s">
        <v>1300</v>
      </c>
      <c r="E628" s="38" t="s">
        <v>1284</v>
      </c>
      <c r="F628" s="141"/>
      <c r="G628" s="40"/>
      <c r="H628" s="40"/>
      <c r="I628" s="40"/>
      <c r="J628" s="40"/>
      <c r="K628" s="44"/>
    </row>
    <row r="629" spans="1:11" x14ac:dyDescent="0.2">
      <c r="A629" s="6">
        <v>601</v>
      </c>
      <c r="B629" s="6" t="s">
        <v>120</v>
      </c>
      <c r="C629" s="6" t="s">
        <v>114</v>
      </c>
      <c r="D629" s="143"/>
      <c r="E629" s="65" t="s">
        <v>1286</v>
      </c>
      <c r="F629" s="144"/>
      <c r="G629" s="113"/>
      <c r="H629" s="40"/>
      <c r="I629" s="40"/>
      <c r="J629" s="113"/>
      <c r="K629" s="147"/>
    </row>
  </sheetData>
  <sortState xmlns:xlrd2="http://schemas.microsoft.com/office/spreadsheetml/2017/richdata2" ref="A16:K629">
    <sortCondition ref="J16:J629"/>
  </sortState>
  <phoneticPr fontId="3" type="noConversion"/>
  <printOptions horizontalCentered="1"/>
  <pageMargins left="0.78740157480314965" right="0.78740157480314965" top="0.74803149606299213" bottom="0.74803149606299213" header="0.31496062992125984" footer="0.31496062992125984"/>
  <pageSetup paperSize="9" scale="1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64BDF9-F241-4854-9E2D-9A7A7B4C8E75}">
  <sheetPr>
    <pageSetUpPr fitToPage="1"/>
  </sheetPr>
  <dimension ref="A1:BA536"/>
  <sheetViews>
    <sheetView view="pageBreakPreview" zoomScale="85" zoomScaleNormal="70" zoomScaleSheetLayoutView="85" workbookViewId="0">
      <pane ySplit="4" topLeftCell="A5" activePane="bottomLeft" state="frozen"/>
      <selection pane="bottomLeft" activeCell="D1" sqref="D1"/>
    </sheetView>
  </sheetViews>
  <sheetFormatPr defaultRowHeight="15" x14ac:dyDescent="0.2"/>
  <cols>
    <col min="1" max="1" width="5.6640625" style="197" hidden="1" customWidth="1"/>
    <col min="2" max="2" width="6.1640625" style="197" hidden="1" customWidth="1"/>
    <col min="3" max="3" width="3.33203125" style="197" hidden="1" customWidth="1"/>
    <col min="4" max="4" width="8.83203125" style="173" customWidth="1"/>
    <col min="5" max="5" width="23.6640625" style="197" customWidth="1"/>
    <col min="6" max="7" width="8.5" style="172" hidden="1" customWidth="1"/>
    <col min="8" max="8" width="12.83203125" style="173" customWidth="1"/>
    <col min="9" max="9" width="12.83203125" style="173" hidden="1" customWidth="1"/>
    <col min="10" max="10" width="20.83203125" style="173" customWidth="1"/>
    <col min="11" max="11" width="12.83203125" style="173" hidden="1" customWidth="1"/>
    <col min="12" max="12" width="18.5" style="173" hidden="1" customWidth="1"/>
    <col min="13" max="13" width="10.1640625" style="197" customWidth="1"/>
    <col min="14" max="18" width="5.83203125" style="197" customWidth="1"/>
    <col min="19" max="19" width="4.6640625" style="197" customWidth="1"/>
    <col min="20" max="24" width="5.83203125" style="197" customWidth="1"/>
    <col min="25" max="25" width="1.1640625" style="197" customWidth="1"/>
    <col min="26" max="27" width="8.1640625" style="197" customWidth="1"/>
    <col min="28" max="29" width="5.83203125" style="197" customWidth="1"/>
    <col min="30" max="30" width="6.5" style="197" customWidth="1"/>
    <col min="31" max="31" width="8.1640625" style="197" customWidth="1"/>
    <col min="32" max="33" width="5.83203125" style="197" customWidth="1"/>
    <col min="34" max="34" width="6.5" style="197" customWidth="1"/>
    <col min="35" max="35" width="7.1640625" style="197" hidden="1" customWidth="1"/>
    <col min="36" max="38" width="6.5" style="197" customWidth="1"/>
    <col min="39" max="39" width="8.1640625" style="197" customWidth="1"/>
    <col min="40" max="41" width="6.5" style="197" customWidth="1"/>
    <col min="42" max="42" width="9" style="197" customWidth="1"/>
    <col min="43" max="43" width="8.1640625" style="197" customWidth="1"/>
    <col min="44" max="44" width="6.5" style="197" customWidth="1"/>
    <col min="45" max="45" width="5.83203125" style="197" customWidth="1"/>
    <col min="46" max="46" width="6.5" style="197" customWidth="1"/>
    <col min="47" max="47" width="5.83203125" style="197" customWidth="1"/>
    <col min="48" max="48" width="7.1640625" style="197" hidden="1" customWidth="1"/>
    <col min="49" max="50" width="5.83203125" style="197" customWidth="1"/>
    <col min="51" max="52" width="6.5" style="197" customWidth="1"/>
    <col min="53" max="16384" width="9.33203125" style="197"/>
  </cols>
  <sheetData>
    <row r="1" spans="1:53" ht="18.75" x14ac:dyDescent="0.2">
      <c r="C1" s="230"/>
      <c r="D1" s="231" t="s">
        <v>1451</v>
      </c>
      <c r="E1" s="232"/>
      <c r="F1" s="233"/>
      <c r="G1" s="233"/>
      <c r="H1" s="234"/>
      <c r="I1" s="234"/>
      <c r="J1" s="234"/>
      <c r="K1" s="234"/>
      <c r="L1" s="234"/>
      <c r="M1" s="232"/>
      <c r="N1" s="232"/>
      <c r="O1" s="232"/>
      <c r="P1" s="232"/>
      <c r="Q1" s="232"/>
      <c r="R1" s="232"/>
      <c r="S1" s="232"/>
      <c r="T1" s="232"/>
      <c r="U1" s="232"/>
      <c r="V1" s="232"/>
      <c r="W1" s="232"/>
      <c r="X1" s="232"/>
      <c r="Y1" s="232"/>
      <c r="Z1" s="232"/>
      <c r="AA1" s="232"/>
      <c r="AB1" s="232"/>
      <c r="AC1" s="232"/>
      <c r="AD1" s="232"/>
      <c r="AE1" s="232"/>
      <c r="AF1" s="232"/>
      <c r="AG1" s="232"/>
      <c r="AH1" s="232"/>
      <c r="AI1" s="232"/>
      <c r="AJ1" s="232"/>
      <c r="AK1" s="232"/>
      <c r="AL1" s="232"/>
      <c r="AM1" s="232"/>
      <c r="AN1" s="232"/>
      <c r="AO1" s="232"/>
      <c r="AP1" s="232"/>
      <c r="AQ1" s="232"/>
      <c r="AR1" s="232"/>
      <c r="AS1" s="232"/>
      <c r="AT1" s="232"/>
      <c r="AU1" s="232"/>
      <c r="AV1" s="232"/>
      <c r="AW1" s="232"/>
      <c r="AX1" s="232"/>
      <c r="AY1" s="232"/>
      <c r="AZ1" s="235"/>
      <c r="BA1" s="235"/>
    </row>
    <row r="2" spans="1:53" ht="39.950000000000003" customHeight="1" x14ac:dyDescent="0.2">
      <c r="A2" s="197">
        <v>1</v>
      </c>
      <c r="D2" s="236"/>
      <c r="E2" s="237"/>
      <c r="F2" s="237"/>
      <c r="G2" s="237"/>
      <c r="H2" s="237"/>
      <c r="I2" s="237"/>
      <c r="J2" s="237"/>
      <c r="K2" s="237"/>
      <c r="L2" s="237"/>
      <c r="M2" s="237"/>
      <c r="N2" s="238"/>
      <c r="O2" s="238"/>
      <c r="P2" s="238"/>
      <c r="Q2" s="238"/>
      <c r="R2" s="238"/>
      <c r="S2" s="238"/>
      <c r="T2" s="238" t="s">
        <v>268</v>
      </c>
      <c r="U2" s="238" t="s">
        <v>268</v>
      </c>
      <c r="V2" s="238" t="s">
        <v>268</v>
      </c>
      <c r="W2" s="238" t="s">
        <v>268</v>
      </c>
      <c r="X2" s="238" t="s">
        <v>268</v>
      </c>
      <c r="Y2" s="238"/>
      <c r="Z2" s="238">
        <f>SUM(Z4:Z536)</f>
        <v>1252.2120500000005</v>
      </c>
      <c r="AA2" s="238">
        <f t="shared" ref="AA2:AZ2" si="0">SUM(AA4:AA536)</f>
        <v>1065.3085000000001</v>
      </c>
      <c r="AB2" s="238">
        <f t="shared" si="0"/>
        <v>86.1</v>
      </c>
      <c r="AC2" s="238">
        <f t="shared" si="0"/>
        <v>92.387500000000003</v>
      </c>
      <c r="AD2" s="238">
        <f t="shared" si="0"/>
        <v>198.03650000000002</v>
      </c>
      <c r="AE2" s="238">
        <f t="shared" si="0"/>
        <v>1415.2394999999999</v>
      </c>
      <c r="AF2" s="238">
        <f t="shared" si="0"/>
        <v>17.875</v>
      </c>
      <c r="AG2" s="238">
        <f t="shared" si="0"/>
        <v>21.008099999999999</v>
      </c>
      <c r="AH2" s="238">
        <f t="shared" si="0"/>
        <v>458.42900000000009</v>
      </c>
      <c r="AI2" s="238">
        <f t="shared" si="0"/>
        <v>0</v>
      </c>
      <c r="AJ2" s="238">
        <f t="shared" si="0"/>
        <v>175.30299999999997</v>
      </c>
      <c r="AK2" s="238">
        <f t="shared" si="0"/>
        <v>122.58775000000001</v>
      </c>
      <c r="AL2" s="238">
        <f t="shared" si="0"/>
        <v>410.24564999999996</v>
      </c>
      <c r="AM2" s="238">
        <f t="shared" si="0"/>
        <v>1789.2780000000025</v>
      </c>
      <c r="AN2" s="238">
        <f t="shared" si="0"/>
        <v>800.80199999999968</v>
      </c>
      <c r="AO2" s="238">
        <f t="shared" si="0"/>
        <v>315.72374999999994</v>
      </c>
      <c r="AP2" s="238">
        <f t="shared" si="0"/>
        <v>11649.723100000019</v>
      </c>
      <c r="AQ2" s="238">
        <f t="shared" si="0"/>
        <v>1848.6053499999982</v>
      </c>
      <c r="AR2" s="238">
        <f t="shared" si="0"/>
        <v>878.60740000000055</v>
      </c>
      <c r="AS2" s="238">
        <f t="shared" si="0"/>
        <v>76.582750000000004</v>
      </c>
      <c r="AT2" s="238">
        <f t="shared" si="0"/>
        <v>516.53744999999981</v>
      </c>
      <c r="AU2" s="238">
        <f t="shared" si="0"/>
        <v>26.700000000000003</v>
      </c>
      <c r="AV2" s="238">
        <f t="shared" si="0"/>
        <v>0</v>
      </c>
      <c r="AW2" s="238">
        <f t="shared" si="0"/>
        <v>57.330000000000005</v>
      </c>
      <c r="AX2" s="238">
        <f t="shared" si="0"/>
        <v>48.313799999999993</v>
      </c>
      <c r="AY2" s="238">
        <f t="shared" si="0"/>
        <v>689.92800000000057</v>
      </c>
      <c r="AZ2" s="238">
        <f t="shared" si="0"/>
        <v>485.60439999999988</v>
      </c>
    </row>
    <row r="3" spans="1:53" s="191" customFormat="1" ht="12.75" customHeight="1" x14ac:dyDescent="0.2">
      <c r="A3" s="239">
        <v>2</v>
      </c>
      <c r="D3" s="240" t="s">
        <v>610</v>
      </c>
      <c r="E3" s="240" t="s">
        <v>611</v>
      </c>
      <c r="F3" s="240" t="s">
        <v>612</v>
      </c>
      <c r="G3" s="240"/>
      <c r="H3" s="241" t="s">
        <v>613</v>
      </c>
      <c r="I3" s="240" t="s">
        <v>614</v>
      </c>
      <c r="J3" s="242"/>
      <c r="K3" s="242"/>
      <c r="L3" s="240" t="s">
        <v>0</v>
      </c>
      <c r="M3" s="191" t="s">
        <v>262</v>
      </c>
      <c r="N3" s="191" t="s">
        <v>263</v>
      </c>
      <c r="O3" s="191" t="s">
        <v>264</v>
      </c>
      <c r="P3" s="191" t="s">
        <v>265</v>
      </c>
      <c r="Q3" s="191" t="s">
        <v>266</v>
      </c>
      <c r="R3" s="191" t="s">
        <v>267</v>
      </c>
      <c r="T3" s="191" t="s">
        <v>263</v>
      </c>
      <c r="U3" s="191" t="s">
        <v>264</v>
      </c>
      <c r="V3" s="191" t="s">
        <v>265</v>
      </c>
      <c r="W3" s="191" t="s">
        <v>266</v>
      </c>
      <c r="X3" s="191" t="s">
        <v>267</v>
      </c>
      <c r="Z3" s="191" t="s">
        <v>485</v>
      </c>
      <c r="AA3" s="191" t="s">
        <v>270</v>
      </c>
      <c r="AB3" s="191" t="s">
        <v>486</v>
      </c>
      <c r="AC3" s="191" t="s">
        <v>4</v>
      </c>
      <c r="AD3" s="191" t="s">
        <v>8</v>
      </c>
      <c r="AE3" s="191" t="s">
        <v>487</v>
      </c>
      <c r="AF3" s="191" t="s">
        <v>488</v>
      </c>
      <c r="AG3" s="191" t="s">
        <v>489</v>
      </c>
      <c r="AH3" s="191" t="s">
        <v>17</v>
      </c>
      <c r="AI3" s="191" t="s">
        <v>490</v>
      </c>
      <c r="AJ3" s="191" t="s">
        <v>12</v>
      </c>
      <c r="AK3" s="191" t="s">
        <v>491</v>
      </c>
      <c r="AL3" s="191" t="s">
        <v>47</v>
      </c>
      <c r="AM3" s="191" t="s">
        <v>71</v>
      </c>
      <c r="AN3" s="191" t="s">
        <v>492</v>
      </c>
      <c r="AO3" s="191" t="s">
        <v>493</v>
      </c>
      <c r="AP3" s="191" t="s">
        <v>34</v>
      </c>
      <c r="AQ3" s="191" t="s">
        <v>45</v>
      </c>
      <c r="AR3" s="191" t="s">
        <v>52</v>
      </c>
      <c r="AS3" s="191" t="s">
        <v>494</v>
      </c>
      <c r="AT3" s="191" t="s">
        <v>78</v>
      </c>
      <c r="AU3" s="191" t="s">
        <v>30</v>
      </c>
      <c r="AV3" s="191" t="s">
        <v>495</v>
      </c>
      <c r="AW3" s="191" t="s">
        <v>496</v>
      </c>
      <c r="AX3" s="191" t="s">
        <v>497</v>
      </c>
      <c r="AY3" s="191" t="s">
        <v>498</v>
      </c>
      <c r="AZ3" s="191" t="s">
        <v>499</v>
      </c>
    </row>
    <row r="4" spans="1:53" s="191" customFormat="1" ht="12.75" customHeight="1" x14ac:dyDescent="0.2">
      <c r="A4" s="239">
        <v>3</v>
      </c>
      <c r="D4" s="240"/>
      <c r="E4" s="240"/>
      <c r="F4" s="240"/>
      <c r="G4" s="240"/>
      <c r="H4" s="241"/>
      <c r="I4" s="240" t="s">
        <v>615</v>
      </c>
      <c r="J4" s="240" t="s">
        <v>616</v>
      </c>
      <c r="K4" s="240" t="s">
        <v>617</v>
      </c>
      <c r="L4" s="242"/>
      <c r="M4" s="191">
        <v>1</v>
      </c>
    </row>
    <row r="5" spans="1:53" ht="24.95" customHeight="1" x14ac:dyDescent="0.2">
      <c r="A5" s="197">
        <v>4</v>
      </c>
      <c r="B5" s="197" t="s">
        <v>111</v>
      </c>
      <c r="C5" s="197" t="s">
        <v>112</v>
      </c>
      <c r="D5" s="242"/>
      <c r="E5" s="243" t="s">
        <v>1269</v>
      </c>
      <c r="F5" s="244"/>
      <c r="G5" s="244"/>
      <c r="H5" s="242"/>
      <c r="I5" s="242"/>
      <c r="J5" s="242"/>
      <c r="K5" s="242"/>
      <c r="L5" s="245"/>
    </row>
    <row r="6" spans="1:53" ht="24.95" customHeight="1" x14ac:dyDescent="0.2">
      <c r="A6" s="239">
        <v>5</v>
      </c>
      <c r="B6" s="197" t="s">
        <v>111</v>
      </c>
      <c r="C6" s="197" t="s">
        <v>112</v>
      </c>
      <c r="D6" s="242"/>
      <c r="E6" s="243" t="s">
        <v>1270</v>
      </c>
      <c r="F6" s="244"/>
      <c r="G6" s="244"/>
      <c r="H6" s="242"/>
      <c r="I6" s="242"/>
      <c r="J6" s="242"/>
      <c r="K6" s="242"/>
      <c r="L6" s="245"/>
    </row>
    <row r="7" spans="1:53" ht="24.95" customHeight="1" x14ac:dyDescent="0.2">
      <c r="A7" s="239">
        <v>6</v>
      </c>
      <c r="B7" s="197" t="s">
        <v>111</v>
      </c>
      <c r="C7" s="197" t="s">
        <v>112</v>
      </c>
      <c r="D7" s="246" t="s">
        <v>672</v>
      </c>
      <c r="E7" s="243" t="s">
        <v>673</v>
      </c>
      <c r="F7" s="247">
        <v>43.6</v>
      </c>
      <c r="G7" s="247"/>
      <c r="H7" s="248" t="s">
        <v>269</v>
      </c>
      <c r="I7" s="246" t="s">
        <v>603</v>
      </c>
      <c r="J7" s="249" t="s">
        <v>15</v>
      </c>
      <c r="K7" s="246" t="s">
        <v>674</v>
      </c>
      <c r="L7" s="243"/>
      <c r="M7" s="197">
        <f>30.6+10.2</f>
        <v>40.799999999999997</v>
      </c>
      <c r="N7" s="197">
        <f>M7-O7-P7-Q7</f>
        <v>32.049999999999997</v>
      </c>
      <c r="O7" s="197">
        <v>2.4</v>
      </c>
      <c r="P7" s="197">
        <v>4.5</v>
      </c>
      <c r="Q7" s="197">
        <v>1.85</v>
      </c>
      <c r="T7" s="197">
        <f>3.45*2.25</f>
        <v>7.7625000000000002</v>
      </c>
      <c r="Z7" s="197">
        <f>N7*H7/1000-T7</f>
        <v>72.362499999999997</v>
      </c>
      <c r="AB7" s="197">
        <f>11.8*4.3</f>
        <v>50.74</v>
      </c>
      <c r="AF7" s="197">
        <f>O7*H7/1000-U7</f>
        <v>6</v>
      </c>
      <c r="AM7" s="197">
        <f>P7*H7/1000-V7</f>
        <v>11.25</v>
      </c>
      <c r="AN7" s="197">
        <f>Q7*H7/1000-W7</f>
        <v>4.625</v>
      </c>
    </row>
    <row r="8" spans="1:53" ht="24.95" customHeight="1" x14ac:dyDescent="0.2">
      <c r="A8" s="197">
        <v>7</v>
      </c>
      <c r="B8" s="197" t="s">
        <v>111</v>
      </c>
      <c r="C8" s="197" t="s">
        <v>112</v>
      </c>
      <c r="D8" s="246" t="s">
        <v>978</v>
      </c>
      <c r="E8" s="243" t="s">
        <v>660</v>
      </c>
      <c r="F8" s="250">
        <v>6.15</v>
      </c>
      <c r="G8" s="251">
        <f>H8/1000</f>
        <v>18.82</v>
      </c>
      <c r="H8" s="242">
        <v>18820</v>
      </c>
      <c r="I8" s="246" t="s">
        <v>607</v>
      </c>
      <c r="J8" s="246" t="s">
        <v>270</v>
      </c>
      <c r="K8" s="242"/>
      <c r="L8" s="245"/>
      <c r="M8" s="197">
        <v>10.1</v>
      </c>
      <c r="N8" s="197">
        <v>10.1</v>
      </c>
      <c r="T8" s="197">
        <f>1.1*2.1*5</f>
        <v>11.550000000000002</v>
      </c>
      <c r="AA8" s="197">
        <f>N8*G8-T8</f>
        <v>178.53199999999998</v>
      </c>
    </row>
    <row r="9" spans="1:53" ht="24.95" customHeight="1" x14ac:dyDescent="0.2">
      <c r="A9" s="239">
        <v>8</v>
      </c>
      <c r="B9" s="197" t="s">
        <v>111</v>
      </c>
      <c r="C9" s="197" t="s">
        <v>112</v>
      </c>
      <c r="D9" s="246" t="s">
        <v>979</v>
      </c>
      <c r="E9" s="243" t="s">
        <v>644</v>
      </c>
      <c r="F9" s="250">
        <v>4.5</v>
      </c>
      <c r="G9" s="251">
        <f>H9/1000</f>
        <v>18.82</v>
      </c>
      <c r="H9" s="242">
        <v>18820</v>
      </c>
      <c r="I9" s="246" t="s">
        <v>607</v>
      </c>
      <c r="J9" s="246" t="s">
        <v>270</v>
      </c>
      <c r="K9" s="242"/>
      <c r="L9" s="245"/>
      <c r="M9" s="197">
        <v>8.5</v>
      </c>
      <c r="N9" s="197">
        <v>8.5</v>
      </c>
      <c r="T9" s="197">
        <f>1.1*2.1*5</f>
        <v>11.550000000000002</v>
      </c>
      <c r="AA9" s="197">
        <f>N9*G9-T9</f>
        <v>148.41999999999999</v>
      </c>
    </row>
    <row r="10" spans="1:53" ht="24.95" customHeight="1" x14ac:dyDescent="0.2">
      <c r="A10" s="239">
        <v>9</v>
      </c>
      <c r="B10" s="197" t="s">
        <v>111</v>
      </c>
      <c r="C10" s="197" t="s">
        <v>112</v>
      </c>
      <c r="D10" s="246" t="s">
        <v>675</v>
      </c>
      <c r="E10" s="243" t="s">
        <v>676</v>
      </c>
      <c r="F10" s="250">
        <v>12.4</v>
      </c>
      <c r="G10" s="250"/>
      <c r="H10" s="248">
        <v>2930</v>
      </c>
      <c r="I10" s="246" t="s">
        <v>603</v>
      </c>
      <c r="J10" s="246" t="s">
        <v>2</v>
      </c>
      <c r="K10" s="246" t="s">
        <v>677</v>
      </c>
      <c r="L10" s="243"/>
      <c r="M10" s="197">
        <f>5.1*2+2.4</f>
        <v>12.6</v>
      </c>
      <c r="N10" s="197">
        <f>2.75*2</f>
        <v>5.5</v>
      </c>
      <c r="O10" s="197">
        <f>M10-N10</f>
        <v>7.1</v>
      </c>
      <c r="T10" s="197">
        <f>1.1*2.1</f>
        <v>2.3100000000000005</v>
      </c>
      <c r="Z10" s="197">
        <f t="shared" ref="Z10:Z21" si="1">N10*H10/1000-T10</f>
        <v>13.804999999999998</v>
      </c>
      <c r="AE10" s="197">
        <f t="shared" ref="AE10:AE21" si="2">O10*H10/1000-U10</f>
        <v>20.803000000000001</v>
      </c>
    </row>
    <row r="11" spans="1:53" ht="24.95" customHeight="1" x14ac:dyDescent="0.2">
      <c r="A11" s="197">
        <v>10</v>
      </c>
      <c r="B11" s="197" t="s">
        <v>111</v>
      </c>
      <c r="C11" s="197" t="s">
        <v>112</v>
      </c>
      <c r="D11" s="246" t="s">
        <v>678</v>
      </c>
      <c r="E11" s="243" t="s">
        <v>679</v>
      </c>
      <c r="F11" s="250">
        <v>100</v>
      </c>
      <c r="G11" s="250"/>
      <c r="H11" s="248">
        <v>2930</v>
      </c>
      <c r="I11" s="246" t="s">
        <v>603</v>
      </c>
      <c r="J11" s="246" t="s">
        <v>2</v>
      </c>
      <c r="K11" s="246" t="s">
        <v>677</v>
      </c>
      <c r="L11" s="243"/>
      <c r="M11" s="197">
        <f>72.75-2.4-2.1-3</f>
        <v>65.25</v>
      </c>
      <c r="N11" s="197">
        <f>M11-O11</f>
        <v>49.4</v>
      </c>
      <c r="O11" s="197">
        <f>1.05+10.6+4.2</f>
        <v>15.850000000000001</v>
      </c>
      <c r="T11" s="197">
        <f>3.45*2.25+3*2.4</f>
        <v>14.962499999999999</v>
      </c>
      <c r="U11" s="197">
        <f>1.1*2.1+3.6*2.4</f>
        <v>10.950000000000001</v>
      </c>
      <c r="Z11" s="197">
        <f t="shared" si="1"/>
        <v>129.77949999999998</v>
      </c>
      <c r="AE11" s="197">
        <f t="shared" si="2"/>
        <v>35.490500000000004</v>
      </c>
    </row>
    <row r="12" spans="1:53" ht="24.95" customHeight="1" x14ac:dyDescent="0.2">
      <c r="A12" s="239">
        <v>11</v>
      </c>
      <c r="B12" s="197" t="s">
        <v>111</v>
      </c>
      <c r="C12" s="197" t="s">
        <v>112</v>
      </c>
      <c r="D12" s="246" t="s">
        <v>680</v>
      </c>
      <c r="E12" s="243" t="s">
        <v>679</v>
      </c>
      <c r="F12" s="250">
        <v>17.25</v>
      </c>
      <c r="G12" s="250"/>
      <c r="H12" s="248">
        <v>2930</v>
      </c>
      <c r="I12" s="246" t="s">
        <v>603</v>
      </c>
      <c r="J12" s="246" t="s">
        <v>2</v>
      </c>
      <c r="K12" s="246" t="s">
        <v>677</v>
      </c>
      <c r="L12" s="243"/>
      <c r="M12" s="197">
        <f>2.1+8.25*2</f>
        <v>18.600000000000001</v>
      </c>
      <c r="N12" s="197">
        <f>1.7+0.6</f>
        <v>2.2999999999999998</v>
      </c>
      <c r="O12" s="197">
        <f>M12-N12</f>
        <v>16.3</v>
      </c>
      <c r="U12" s="197">
        <f>1.2*2.1+1.1*2.1*4+2*2.1</f>
        <v>15.96</v>
      </c>
      <c r="Z12" s="197">
        <f t="shared" si="1"/>
        <v>6.738999999999999</v>
      </c>
      <c r="AE12" s="197">
        <f t="shared" si="2"/>
        <v>31.798999999999999</v>
      </c>
    </row>
    <row r="13" spans="1:53" ht="24.95" customHeight="1" x14ac:dyDescent="0.2">
      <c r="A13" s="239">
        <v>12</v>
      </c>
      <c r="B13" s="197" t="s">
        <v>111</v>
      </c>
      <c r="C13" s="197" t="s">
        <v>112</v>
      </c>
      <c r="D13" s="246" t="s">
        <v>681</v>
      </c>
      <c r="E13" s="243" t="s">
        <v>682</v>
      </c>
      <c r="F13" s="250">
        <v>24.1</v>
      </c>
      <c r="G13" s="250"/>
      <c r="H13" s="248">
        <v>2930</v>
      </c>
      <c r="I13" s="246" t="s">
        <v>603</v>
      </c>
      <c r="J13" s="246" t="s">
        <v>2</v>
      </c>
      <c r="K13" s="246" t="s">
        <v>677</v>
      </c>
      <c r="L13" s="243"/>
      <c r="M13" s="197">
        <v>23</v>
      </c>
      <c r="N13" s="197">
        <f>M13-O13</f>
        <v>14.27</v>
      </c>
      <c r="O13" s="197">
        <v>8.73</v>
      </c>
      <c r="U13" s="197">
        <f>1.1*2.1</f>
        <v>2.3100000000000005</v>
      </c>
      <c r="Z13" s="197">
        <f t="shared" si="1"/>
        <v>41.811099999999996</v>
      </c>
      <c r="AE13" s="197">
        <f t="shared" si="2"/>
        <v>23.268900000000002</v>
      </c>
    </row>
    <row r="14" spans="1:53" ht="24.95" customHeight="1" x14ac:dyDescent="0.2">
      <c r="A14" s="197">
        <v>13</v>
      </c>
      <c r="B14" s="197" t="s">
        <v>111</v>
      </c>
      <c r="C14" s="197" t="s">
        <v>112</v>
      </c>
      <c r="D14" s="246" t="s">
        <v>683</v>
      </c>
      <c r="E14" s="243" t="s">
        <v>684</v>
      </c>
      <c r="F14" s="250">
        <v>51.45</v>
      </c>
      <c r="G14" s="250"/>
      <c r="H14" s="248">
        <v>2930</v>
      </c>
      <c r="I14" s="246" t="s">
        <v>603</v>
      </c>
      <c r="J14" s="246" t="s">
        <v>2</v>
      </c>
      <c r="K14" s="246" t="s">
        <v>677</v>
      </c>
      <c r="L14" s="243"/>
      <c r="M14" s="197">
        <f>29.1+0.8*2+0.3*2+0.8*2+0.2</f>
        <v>33.100000000000009</v>
      </c>
      <c r="N14" s="197">
        <f>M14-O14</f>
        <v>12.350000000000009</v>
      </c>
      <c r="O14" s="197">
        <f>6.2*2+8.35</f>
        <v>20.75</v>
      </c>
      <c r="U14" s="197">
        <f>1.1*2.1</f>
        <v>2.3100000000000005</v>
      </c>
      <c r="Z14" s="197">
        <f t="shared" si="1"/>
        <v>36.185500000000019</v>
      </c>
      <c r="AE14" s="197">
        <f t="shared" si="2"/>
        <v>58.487499999999997</v>
      </c>
    </row>
    <row r="15" spans="1:53" ht="24.95" customHeight="1" x14ac:dyDescent="0.2">
      <c r="A15" s="239">
        <v>14</v>
      </c>
      <c r="B15" s="197" t="s">
        <v>111</v>
      </c>
      <c r="C15" s="197" t="s">
        <v>112</v>
      </c>
      <c r="D15" s="246" t="s">
        <v>685</v>
      </c>
      <c r="E15" s="243" t="s">
        <v>686</v>
      </c>
      <c r="F15" s="250">
        <v>21.75</v>
      </c>
      <c r="G15" s="250"/>
      <c r="H15" s="248">
        <v>2930</v>
      </c>
      <c r="I15" s="246" t="s">
        <v>603</v>
      </c>
      <c r="J15" s="246" t="s">
        <v>2</v>
      </c>
      <c r="K15" s="246" t="s">
        <v>677</v>
      </c>
      <c r="L15" s="243"/>
      <c r="M15" s="197">
        <v>25.8</v>
      </c>
      <c r="N15" s="197">
        <f>2.3+2.4+1.9</f>
        <v>6.6</v>
      </c>
      <c r="O15" s="197">
        <f t="shared" ref="O15:O21" si="3">M15-N15</f>
        <v>19.200000000000003</v>
      </c>
      <c r="U15" s="197">
        <f>1.2*2.1</f>
        <v>2.52</v>
      </c>
      <c r="Z15" s="197">
        <f t="shared" si="1"/>
        <v>19.338000000000001</v>
      </c>
      <c r="AE15" s="197">
        <f t="shared" si="2"/>
        <v>53.736000000000004</v>
      </c>
    </row>
    <row r="16" spans="1:53" ht="24.95" customHeight="1" x14ac:dyDescent="0.2">
      <c r="A16" s="239">
        <v>15</v>
      </c>
      <c r="B16" s="197" t="s">
        <v>111</v>
      </c>
      <c r="C16" s="197" t="s">
        <v>112</v>
      </c>
      <c r="D16" s="246" t="s">
        <v>687</v>
      </c>
      <c r="E16" s="243" t="s">
        <v>688</v>
      </c>
      <c r="F16" s="250">
        <v>26.3</v>
      </c>
      <c r="G16" s="250"/>
      <c r="H16" s="248">
        <v>2930</v>
      </c>
      <c r="I16" s="246" t="s">
        <v>603</v>
      </c>
      <c r="J16" s="246" t="s">
        <v>2</v>
      </c>
      <c r="K16" s="246" t="s">
        <v>677</v>
      </c>
      <c r="L16" s="243"/>
      <c r="M16" s="197">
        <v>24.5</v>
      </c>
      <c r="N16" s="197">
        <f>8.6+0.6*2</f>
        <v>9.7999999999999989</v>
      </c>
      <c r="O16" s="197">
        <f t="shared" si="3"/>
        <v>14.700000000000001</v>
      </c>
      <c r="T16" s="197">
        <f>1.8*1.4+2*1</f>
        <v>4.5199999999999996</v>
      </c>
      <c r="U16" s="197">
        <f>2*2.1</f>
        <v>4.2</v>
      </c>
      <c r="Z16" s="197">
        <f t="shared" si="1"/>
        <v>24.193999999999996</v>
      </c>
      <c r="AE16" s="197">
        <f t="shared" si="2"/>
        <v>38.870999999999995</v>
      </c>
    </row>
    <row r="17" spans="1:37" ht="24.95" customHeight="1" x14ac:dyDescent="0.2">
      <c r="A17" s="197">
        <v>16</v>
      </c>
      <c r="B17" s="197" t="s">
        <v>111</v>
      </c>
      <c r="C17" s="197" t="s">
        <v>112</v>
      </c>
      <c r="D17" s="246" t="s">
        <v>689</v>
      </c>
      <c r="E17" s="243" t="s">
        <v>690</v>
      </c>
      <c r="F17" s="250">
        <v>21.65</v>
      </c>
      <c r="G17" s="250"/>
      <c r="H17" s="248">
        <v>2930</v>
      </c>
      <c r="I17" s="246" t="s">
        <v>603</v>
      </c>
      <c r="J17" s="246" t="s">
        <v>2</v>
      </c>
      <c r="K17" s="246" t="s">
        <v>677</v>
      </c>
      <c r="L17" s="243"/>
      <c r="M17" s="197">
        <v>19.5</v>
      </c>
      <c r="N17" s="197">
        <v>1.7</v>
      </c>
      <c r="O17" s="197">
        <f t="shared" si="3"/>
        <v>17.8</v>
      </c>
      <c r="U17" s="197">
        <f>1.1*2.1</f>
        <v>2.3100000000000005</v>
      </c>
      <c r="Z17" s="197">
        <f t="shared" si="1"/>
        <v>4.9809999999999999</v>
      </c>
      <c r="AE17" s="197">
        <f t="shared" si="2"/>
        <v>49.844000000000001</v>
      </c>
    </row>
    <row r="18" spans="1:37" ht="24.95" customHeight="1" x14ac:dyDescent="0.2">
      <c r="A18" s="239">
        <v>17</v>
      </c>
      <c r="B18" s="197" t="s">
        <v>111</v>
      </c>
      <c r="C18" s="197" t="s">
        <v>112</v>
      </c>
      <c r="D18" s="246" t="s">
        <v>691</v>
      </c>
      <c r="E18" s="243" t="s">
        <v>692</v>
      </c>
      <c r="F18" s="250">
        <v>8.8000000000000007</v>
      </c>
      <c r="G18" s="250"/>
      <c r="H18" s="248">
        <v>2930</v>
      </c>
      <c r="I18" s="246" t="s">
        <v>603</v>
      </c>
      <c r="J18" s="246" t="s">
        <v>2</v>
      </c>
      <c r="K18" s="246" t="s">
        <v>677</v>
      </c>
      <c r="L18" s="243"/>
      <c r="M18" s="197">
        <v>12.6</v>
      </c>
      <c r="N18" s="197">
        <v>0.25</v>
      </c>
      <c r="O18" s="197">
        <f t="shared" si="3"/>
        <v>12.35</v>
      </c>
      <c r="U18" s="197">
        <f>1.1*2.1</f>
        <v>2.3100000000000005</v>
      </c>
      <c r="Z18" s="197">
        <f t="shared" si="1"/>
        <v>0.73250000000000004</v>
      </c>
      <c r="AE18" s="197">
        <f t="shared" si="2"/>
        <v>33.875499999999995</v>
      </c>
    </row>
    <row r="19" spans="1:37" ht="24.95" customHeight="1" x14ac:dyDescent="0.2">
      <c r="A19" s="239">
        <v>18</v>
      </c>
      <c r="B19" s="197" t="s">
        <v>111</v>
      </c>
      <c r="C19" s="197" t="s">
        <v>112</v>
      </c>
      <c r="D19" s="246" t="s">
        <v>693</v>
      </c>
      <c r="E19" s="243" t="s">
        <v>694</v>
      </c>
      <c r="F19" s="250">
        <v>8.8000000000000007</v>
      </c>
      <c r="G19" s="250"/>
      <c r="H19" s="248">
        <v>2930</v>
      </c>
      <c r="I19" s="246" t="s">
        <v>603</v>
      </c>
      <c r="J19" s="246" t="s">
        <v>2</v>
      </c>
      <c r="K19" s="246" t="s">
        <v>677</v>
      </c>
      <c r="L19" s="243"/>
      <c r="M19" s="197">
        <v>12.6</v>
      </c>
      <c r="N19" s="197">
        <v>0.35</v>
      </c>
      <c r="O19" s="197">
        <f t="shared" si="3"/>
        <v>12.25</v>
      </c>
      <c r="U19" s="197">
        <f>1.1*2.1</f>
        <v>2.3100000000000005</v>
      </c>
      <c r="Z19" s="197">
        <f t="shared" si="1"/>
        <v>1.0255000000000001</v>
      </c>
      <c r="AE19" s="197">
        <f t="shared" si="2"/>
        <v>33.582499999999996</v>
      </c>
    </row>
    <row r="20" spans="1:37" ht="24.95" customHeight="1" x14ac:dyDescent="0.2">
      <c r="A20" s="197">
        <v>19</v>
      </c>
      <c r="B20" s="197" t="s">
        <v>111</v>
      </c>
      <c r="C20" s="197" t="s">
        <v>112</v>
      </c>
      <c r="D20" s="246" t="s">
        <v>695</v>
      </c>
      <c r="E20" s="243" t="s">
        <v>696</v>
      </c>
      <c r="F20" s="250">
        <v>23.15</v>
      </c>
      <c r="G20" s="250"/>
      <c r="H20" s="248">
        <v>3505</v>
      </c>
      <c r="I20" s="246" t="s">
        <v>603</v>
      </c>
      <c r="J20" s="246" t="s">
        <v>2</v>
      </c>
      <c r="K20" s="246" t="s">
        <v>677</v>
      </c>
      <c r="L20" s="243"/>
      <c r="M20" s="197">
        <f>20.6+0.6*2+0.3*2</f>
        <v>22.400000000000002</v>
      </c>
      <c r="N20" s="197">
        <f>3.53+0.3*2+0.6*2+0.35</f>
        <v>5.68</v>
      </c>
      <c r="O20" s="197">
        <f t="shared" si="3"/>
        <v>16.720000000000002</v>
      </c>
      <c r="U20" s="197">
        <f>1.4*2.1</f>
        <v>2.94</v>
      </c>
      <c r="Z20" s="197">
        <f t="shared" si="1"/>
        <v>19.908399999999997</v>
      </c>
      <c r="AE20" s="197">
        <f t="shared" si="2"/>
        <v>55.66360000000001</v>
      </c>
    </row>
    <row r="21" spans="1:37" ht="24.95" customHeight="1" x14ac:dyDescent="0.2">
      <c r="A21" s="239">
        <v>20</v>
      </c>
      <c r="B21" s="197" t="s">
        <v>111</v>
      </c>
      <c r="C21" s="197" t="s">
        <v>112</v>
      </c>
      <c r="D21" s="246" t="s">
        <v>697</v>
      </c>
      <c r="E21" s="243" t="s">
        <v>698</v>
      </c>
      <c r="F21" s="250">
        <v>24.6</v>
      </c>
      <c r="G21" s="250"/>
      <c r="H21" s="248">
        <v>2930</v>
      </c>
      <c r="I21" s="246" t="s">
        <v>603</v>
      </c>
      <c r="J21" s="246" t="s">
        <v>2</v>
      </c>
      <c r="K21" s="246" t="s">
        <v>677</v>
      </c>
      <c r="L21" s="243"/>
      <c r="M21" s="197">
        <f>20+0.6*2+0.3*2</f>
        <v>21.8</v>
      </c>
      <c r="N21" s="197">
        <f>0.6*2+0.3*2+0.35</f>
        <v>2.15</v>
      </c>
      <c r="O21" s="197">
        <f t="shared" si="3"/>
        <v>19.650000000000002</v>
      </c>
      <c r="U21" s="197">
        <f>1.1*2.1</f>
        <v>2.3100000000000005</v>
      </c>
      <c r="Z21" s="197">
        <f t="shared" si="1"/>
        <v>6.2995000000000001</v>
      </c>
      <c r="AE21" s="197">
        <f t="shared" si="2"/>
        <v>55.264500000000005</v>
      </c>
    </row>
    <row r="22" spans="1:37" ht="24.95" customHeight="1" x14ac:dyDescent="0.2">
      <c r="A22" s="239">
        <v>21</v>
      </c>
      <c r="B22" s="197" t="s">
        <v>111</v>
      </c>
      <c r="C22" s="197" t="s">
        <v>112</v>
      </c>
      <c r="D22" s="246" t="s">
        <v>699</v>
      </c>
      <c r="E22" s="243" t="s">
        <v>700</v>
      </c>
      <c r="F22" s="250">
        <v>19.649999999999999</v>
      </c>
      <c r="G22" s="251">
        <f>H22/1000</f>
        <v>2.75</v>
      </c>
      <c r="H22" s="248">
        <v>2750</v>
      </c>
      <c r="I22" s="246" t="s">
        <v>603</v>
      </c>
      <c r="J22" s="246" t="s">
        <v>4</v>
      </c>
      <c r="K22" s="246" t="s">
        <v>701</v>
      </c>
      <c r="L22" s="243"/>
      <c r="M22" s="197">
        <f>21.3-4.9</f>
        <v>16.399999999999999</v>
      </c>
      <c r="N22" s="197">
        <f>M22</f>
        <v>16.399999999999999</v>
      </c>
      <c r="T22" s="197">
        <f>3.6*2.4</f>
        <v>8.64</v>
      </c>
      <c r="AC22" s="197">
        <f>N22*G22-T22</f>
        <v>36.459999999999994</v>
      </c>
    </row>
    <row r="23" spans="1:37" ht="24.95" customHeight="1" x14ac:dyDescent="0.2">
      <c r="A23" s="197">
        <v>22</v>
      </c>
      <c r="B23" s="197" t="s">
        <v>111</v>
      </c>
      <c r="C23" s="197" t="s">
        <v>112</v>
      </c>
      <c r="D23" s="246" t="s">
        <v>702</v>
      </c>
      <c r="E23" s="243" t="s">
        <v>703</v>
      </c>
      <c r="F23" s="250">
        <v>38.1</v>
      </c>
      <c r="G23" s="251">
        <f>H23/1000</f>
        <v>3.3250000000000002</v>
      </c>
      <c r="H23" s="248">
        <v>3325</v>
      </c>
      <c r="I23" s="246" t="s">
        <v>603</v>
      </c>
      <c r="J23" s="246" t="s">
        <v>5</v>
      </c>
      <c r="K23" s="246" t="s">
        <v>701</v>
      </c>
      <c r="L23" s="243"/>
      <c r="M23" s="197">
        <f>24-4.7</f>
        <v>19.3</v>
      </c>
      <c r="N23" s="197">
        <f>M23-O23</f>
        <v>12.55</v>
      </c>
      <c r="O23" s="197">
        <f>6.75</f>
        <v>6.75</v>
      </c>
      <c r="T23" s="197">
        <f>4.5*3.1+1.4*2.1</f>
        <v>16.89</v>
      </c>
      <c r="AC23" s="197">
        <f>N23*G23-T23</f>
        <v>24.838750000000005</v>
      </c>
      <c r="AK23" s="197">
        <f>O23*G23-U23</f>
        <v>22.443750000000001</v>
      </c>
    </row>
    <row r="24" spans="1:37" ht="24.95" customHeight="1" x14ac:dyDescent="0.2">
      <c r="A24" s="239">
        <v>23</v>
      </c>
      <c r="B24" s="197" t="s">
        <v>111</v>
      </c>
      <c r="C24" s="197" t="s">
        <v>112</v>
      </c>
      <c r="D24" s="246" t="s">
        <v>704</v>
      </c>
      <c r="E24" s="243" t="s">
        <v>705</v>
      </c>
      <c r="F24" s="247">
        <v>5.45</v>
      </c>
      <c r="G24" s="251">
        <f>H24/1000</f>
        <v>3.3250000000000002</v>
      </c>
      <c r="H24" s="248">
        <v>3325</v>
      </c>
      <c r="I24" s="246" t="s">
        <v>603</v>
      </c>
      <c r="J24" s="246" t="s">
        <v>5</v>
      </c>
      <c r="K24" s="246" t="s">
        <v>701</v>
      </c>
      <c r="L24" s="243"/>
      <c r="M24" s="197">
        <v>15.75</v>
      </c>
      <c r="N24" s="197">
        <f>M24-O24</f>
        <v>9.35</v>
      </c>
      <c r="O24" s="197">
        <v>6.4</v>
      </c>
      <c r="AC24" s="197">
        <f>N24*G24-T24</f>
        <v>31.088750000000001</v>
      </c>
      <c r="AK24" s="197">
        <f>O24*G24-U24</f>
        <v>21.28</v>
      </c>
    </row>
    <row r="25" spans="1:37" ht="24.95" customHeight="1" x14ac:dyDescent="0.2">
      <c r="A25" s="239">
        <v>24</v>
      </c>
      <c r="B25" s="197" t="s">
        <v>111</v>
      </c>
      <c r="C25" s="197" t="s">
        <v>112</v>
      </c>
      <c r="D25" s="246" t="s">
        <v>1271</v>
      </c>
      <c r="E25" s="243" t="s">
        <v>1272</v>
      </c>
      <c r="F25" s="250">
        <v>84.85</v>
      </c>
      <c r="G25" s="250"/>
      <c r="H25" s="242" t="s">
        <v>9</v>
      </c>
      <c r="I25" s="242"/>
      <c r="J25" s="242"/>
      <c r="K25" s="242" t="s">
        <v>9</v>
      </c>
      <c r="L25" s="245"/>
    </row>
    <row r="26" spans="1:37" ht="24.95" customHeight="1" x14ac:dyDescent="0.2">
      <c r="A26" s="197">
        <v>25</v>
      </c>
      <c r="B26" s="197" t="s">
        <v>111</v>
      </c>
      <c r="C26" s="197" t="s">
        <v>112</v>
      </c>
      <c r="D26" s="246" t="s">
        <v>932</v>
      </c>
      <c r="E26" s="243" t="s">
        <v>933</v>
      </c>
      <c r="F26" s="250">
        <v>25.25</v>
      </c>
      <c r="G26" s="250"/>
      <c r="H26" s="248">
        <v>2300</v>
      </c>
      <c r="I26" s="246" t="s">
        <v>604</v>
      </c>
      <c r="J26" s="246" t="s">
        <v>6</v>
      </c>
      <c r="K26" s="246" t="s">
        <v>763</v>
      </c>
      <c r="L26" s="243"/>
      <c r="M26" s="197">
        <f>23.7</f>
        <v>23.7</v>
      </c>
      <c r="N26" s="197">
        <f>2+0.515*2+0.35+0.3</f>
        <v>3.68</v>
      </c>
      <c r="O26" s="197">
        <f>M26-N26-P26</f>
        <v>16.09</v>
      </c>
      <c r="P26" s="197">
        <f>3.5+0.43</f>
        <v>3.93</v>
      </c>
      <c r="T26" s="197">
        <f>0.95*2.1</f>
        <v>1.9949999999999999</v>
      </c>
      <c r="Z26" s="197">
        <f>N26*H26/1000-T26</f>
        <v>6.4690000000000003</v>
      </c>
      <c r="AE26" s="197">
        <f>O26*H26/1000-U26</f>
        <v>37.006999999999998</v>
      </c>
      <c r="AK26" s="197">
        <f>P26*H26/1000-V26</f>
        <v>9.0389999999999997</v>
      </c>
    </row>
    <row r="27" spans="1:37" ht="24.95" customHeight="1" x14ac:dyDescent="0.2">
      <c r="A27" s="239">
        <v>26</v>
      </c>
      <c r="B27" s="197" t="s">
        <v>111</v>
      </c>
      <c r="C27" s="197" t="s">
        <v>112</v>
      </c>
      <c r="D27" s="246" t="s">
        <v>934</v>
      </c>
      <c r="E27" s="243" t="s">
        <v>935</v>
      </c>
      <c r="F27" s="250">
        <v>4.8</v>
      </c>
      <c r="G27" s="251">
        <f>H27/1000</f>
        <v>2.2999999999999998</v>
      </c>
      <c r="H27" s="248">
        <v>2300</v>
      </c>
      <c r="I27" s="246" t="s">
        <v>604</v>
      </c>
      <c r="J27" s="246" t="s">
        <v>10</v>
      </c>
      <c r="K27" s="246" t="s">
        <v>767</v>
      </c>
      <c r="L27" s="243"/>
      <c r="M27" s="197">
        <v>10.65</v>
      </c>
      <c r="AH27" s="197">
        <f>N27*G27-T27</f>
        <v>0</v>
      </c>
    </row>
    <row r="28" spans="1:37" ht="24.95" customHeight="1" x14ac:dyDescent="0.2">
      <c r="A28" s="239">
        <v>27</v>
      </c>
      <c r="B28" s="197" t="s">
        <v>111</v>
      </c>
      <c r="C28" s="197" t="s">
        <v>112</v>
      </c>
      <c r="D28" s="246" t="s">
        <v>936</v>
      </c>
      <c r="E28" s="243" t="s">
        <v>937</v>
      </c>
      <c r="F28" s="250">
        <v>1.8</v>
      </c>
      <c r="G28" s="251">
        <f>H28/1000</f>
        <v>2.2999999999999998</v>
      </c>
      <c r="H28" s="248">
        <v>2300</v>
      </c>
      <c r="I28" s="246" t="s">
        <v>604</v>
      </c>
      <c r="J28" s="246" t="s">
        <v>10</v>
      </c>
      <c r="K28" s="246" t="s">
        <v>763</v>
      </c>
      <c r="L28" s="243"/>
      <c r="M28" s="197">
        <f>5.4-1.6</f>
        <v>3.8000000000000003</v>
      </c>
      <c r="N28" s="197">
        <v>1.1499999999999999</v>
      </c>
      <c r="O28" s="197">
        <f>M28-N28</f>
        <v>2.6500000000000004</v>
      </c>
      <c r="U28" s="197">
        <f>0.75*2.1</f>
        <v>1.5750000000000002</v>
      </c>
      <c r="AH28" s="197">
        <f>N28*G28-T28</f>
        <v>2.6449999999999996</v>
      </c>
      <c r="AJ28" s="197">
        <f>O28*G28-U28</f>
        <v>4.5200000000000005</v>
      </c>
    </row>
    <row r="29" spans="1:37" ht="24.95" customHeight="1" x14ac:dyDescent="0.2">
      <c r="A29" s="197">
        <v>28</v>
      </c>
      <c r="B29" s="197" t="s">
        <v>111</v>
      </c>
      <c r="C29" s="197" t="s">
        <v>112</v>
      </c>
      <c r="D29" s="246" t="s">
        <v>938</v>
      </c>
      <c r="E29" s="243" t="s">
        <v>939</v>
      </c>
      <c r="F29" s="250">
        <v>1.5</v>
      </c>
      <c r="G29" s="251">
        <f>H29/1000</f>
        <v>2.2999999999999998</v>
      </c>
      <c r="H29" s="248">
        <v>2300</v>
      </c>
      <c r="I29" s="246" t="s">
        <v>604</v>
      </c>
      <c r="J29" s="246" t="s">
        <v>10</v>
      </c>
      <c r="K29" s="246" t="s">
        <v>756</v>
      </c>
      <c r="L29" s="243"/>
      <c r="M29" s="197">
        <f>5-1.6</f>
        <v>3.4</v>
      </c>
      <c r="N29" s="197">
        <v>0.9</v>
      </c>
      <c r="O29" s="197">
        <f>M29-N29</f>
        <v>2.5</v>
      </c>
      <c r="AH29" s="197">
        <f>N29*G29-T29</f>
        <v>2.0699999999999998</v>
      </c>
      <c r="AJ29" s="197">
        <f>O29*G29-U29</f>
        <v>5.75</v>
      </c>
    </row>
    <row r="30" spans="1:37" ht="24.95" customHeight="1" x14ac:dyDescent="0.2">
      <c r="A30" s="239">
        <v>29</v>
      </c>
      <c r="B30" s="197" t="s">
        <v>111</v>
      </c>
      <c r="C30" s="197" t="s">
        <v>112</v>
      </c>
      <c r="D30" s="246" t="s">
        <v>940</v>
      </c>
      <c r="E30" s="243" t="s">
        <v>941</v>
      </c>
      <c r="F30" s="250">
        <v>22.65</v>
      </c>
      <c r="G30" s="250"/>
      <c r="H30" s="248">
        <v>2300</v>
      </c>
      <c r="I30" s="246" t="s">
        <v>604</v>
      </c>
      <c r="J30" s="246" t="s">
        <v>11</v>
      </c>
      <c r="K30" s="246" t="s">
        <v>763</v>
      </c>
      <c r="L30" s="243"/>
      <c r="M30" s="197">
        <f>23.15-1.75</f>
        <v>21.4</v>
      </c>
      <c r="N30" s="197">
        <f>M30-O30-P30</f>
        <v>14.2</v>
      </c>
      <c r="O30" s="197">
        <v>2.25</v>
      </c>
      <c r="P30" s="197">
        <v>4.95</v>
      </c>
      <c r="T30" s="197">
        <f>0.95*2.1</f>
        <v>1.9949999999999999</v>
      </c>
      <c r="Z30" s="197">
        <f>N30*H30/1000-T30</f>
        <v>30.664999999999996</v>
      </c>
      <c r="AH30" s="197">
        <f>O30*H30/1000-U30</f>
        <v>5.1749999999999998</v>
      </c>
      <c r="AK30" s="197">
        <f>P30*H30/1000-V30</f>
        <v>11.385</v>
      </c>
    </row>
    <row r="31" spans="1:37" ht="24.95" customHeight="1" x14ac:dyDescent="0.2">
      <c r="A31" s="239">
        <v>30</v>
      </c>
      <c r="B31" s="197" t="s">
        <v>111</v>
      </c>
      <c r="C31" s="197" t="s">
        <v>112</v>
      </c>
      <c r="D31" s="246" t="s">
        <v>942</v>
      </c>
      <c r="E31" s="243" t="s">
        <v>943</v>
      </c>
      <c r="F31" s="250">
        <v>3.5</v>
      </c>
      <c r="G31" s="251">
        <f>H31/1000</f>
        <v>2.2999999999999998</v>
      </c>
      <c r="H31" s="248">
        <v>2300</v>
      </c>
      <c r="I31" s="246" t="s">
        <v>604</v>
      </c>
      <c r="J31" s="246" t="s">
        <v>10</v>
      </c>
      <c r="K31" s="246" t="s">
        <v>767</v>
      </c>
      <c r="L31" s="243"/>
      <c r="M31" s="197">
        <f>9.65-1.75</f>
        <v>7.9</v>
      </c>
      <c r="N31" s="197">
        <v>2</v>
      </c>
      <c r="O31" s="197">
        <f>M31-N31</f>
        <v>5.9</v>
      </c>
      <c r="AH31" s="197">
        <f>N31*G31-T31</f>
        <v>4.5999999999999996</v>
      </c>
      <c r="AJ31" s="197">
        <f>O31*G31-U31</f>
        <v>13.57</v>
      </c>
    </row>
    <row r="32" spans="1:37" ht="24.95" customHeight="1" x14ac:dyDescent="0.2">
      <c r="A32" s="197">
        <v>31</v>
      </c>
      <c r="B32" s="197" t="s">
        <v>111</v>
      </c>
      <c r="C32" s="197" t="s">
        <v>112</v>
      </c>
      <c r="D32" s="246" t="s">
        <v>944</v>
      </c>
      <c r="E32" s="243" t="s">
        <v>945</v>
      </c>
      <c r="F32" s="250">
        <v>3</v>
      </c>
      <c r="G32" s="251">
        <f>H32/1000</f>
        <v>2.2999999999999998</v>
      </c>
      <c r="H32" s="248">
        <v>2300</v>
      </c>
      <c r="I32" s="246" t="s">
        <v>604</v>
      </c>
      <c r="J32" s="246" t="s">
        <v>10</v>
      </c>
      <c r="K32" s="246" t="s">
        <v>763</v>
      </c>
      <c r="L32" s="243"/>
      <c r="M32" s="197">
        <f>8.1-1.65</f>
        <v>6.4499999999999993</v>
      </c>
      <c r="N32" s="197">
        <f>1.65</f>
        <v>1.65</v>
      </c>
      <c r="O32" s="197">
        <f>M32-N32</f>
        <v>4.7999999999999989</v>
      </c>
      <c r="U32" s="197">
        <f>0.75*2.1</f>
        <v>1.5750000000000002</v>
      </c>
      <c r="AH32" s="197">
        <f>N32*G32-T32</f>
        <v>3.7949999999999995</v>
      </c>
      <c r="AJ32" s="197">
        <f>O32*G32-U32</f>
        <v>9.4649999999999963</v>
      </c>
    </row>
    <row r="33" spans="1:40" ht="24.95" customHeight="1" x14ac:dyDescent="0.2">
      <c r="A33" s="239">
        <v>32</v>
      </c>
      <c r="B33" s="197" t="s">
        <v>111</v>
      </c>
      <c r="C33" s="197" t="s">
        <v>112</v>
      </c>
      <c r="D33" s="246" t="s">
        <v>946</v>
      </c>
      <c r="E33" s="243" t="s">
        <v>947</v>
      </c>
      <c r="F33" s="250">
        <v>1.5</v>
      </c>
      <c r="G33" s="251">
        <f>H33/1000</f>
        <v>2.2999999999999998</v>
      </c>
      <c r="H33" s="248">
        <v>2300</v>
      </c>
      <c r="I33" s="246" t="s">
        <v>604</v>
      </c>
      <c r="J33" s="246" t="s">
        <v>12</v>
      </c>
      <c r="K33" s="246" t="s">
        <v>756</v>
      </c>
      <c r="L33" s="243"/>
      <c r="M33" s="197">
        <f>4.95-1.65</f>
        <v>3.3000000000000003</v>
      </c>
      <c r="N33" s="197">
        <v>3.3</v>
      </c>
      <c r="AJ33" s="197">
        <f>N33*G33-T33</f>
        <v>7.589999999999999</v>
      </c>
    </row>
    <row r="34" spans="1:40" ht="24.95" customHeight="1" x14ac:dyDescent="0.2">
      <c r="A34" s="239">
        <v>33</v>
      </c>
      <c r="B34" s="197" t="s">
        <v>111</v>
      </c>
      <c r="C34" s="197" t="s">
        <v>112</v>
      </c>
      <c r="D34" s="246" t="s">
        <v>1007</v>
      </c>
      <c r="E34" s="243" t="s">
        <v>679</v>
      </c>
      <c r="F34" s="250">
        <v>34.65</v>
      </c>
      <c r="G34" s="250"/>
      <c r="H34" s="248" t="s">
        <v>271</v>
      </c>
      <c r="I34" s="246" t="s">
        <v>609</v>
      </c>
      <c r="J34" s="246" t="s">
        <v>2</v>
      </c>
      <c r="K34" s="246" t="s">
        <v>677</v>
      </c>
      <c r="L34" s="243"/>
      <c r="M34" s="197">
        <v>36.700000000000003</v>
      </c>
      <c r="N34" s="197">
        <f>M34-O34</f>
        <v>18.550000000000004</v>
      </c>
      <c r="O34" s="197">
        <f>14.5+1.65+2</f>
        <v>18.149999999999999</v>
      </c>
      <c r="T34" s="197">
        <f>2.2*2.4</f>
        <v>5.28</v>
      </c>
      <c r="U34" s="197">
        <f>1.1*2.1*2+1.85*2.1+1.8*2.1*2+1.9*2.1</f>
        <v>20.055</v>
      </c>
      <c r="Z34" s="197">
        <f>N34*H34/1000-T34</f>
        <v>49.071500000000015</v>
      </c>
      <c r="AB34" s="197">
        <f>10.4*3.4</f>
        <v>35.36</v>
      </c>
      <c r="AE34" s="197">
        <f>O34*H34/1000-U34</f>
        <v>33.124499999999991</v>
      </c>
    </row>
    <row r="35" spans="1:40" ht="24.95" customHeight="1" x14ac:dyDescent="0.2">
      <c r="A35" s="197">
        <v>34</v>
      </c>
      <c r="B35" s="197" t="s">
        <v>111</v>
      </c>
      <c r="C35" s="197" t="s">
        <v>112</v>
      </c>
      <c r="D35" s="246" t="s">
        <v>980</v>
      </c>
      <c r="E35" s="243" t="s">
        <v>981</v>
      </c>
      <c r="F35" s="250">
        <v>4.3</v>
      </c>
      <c r="G35" s="250"/>
      <c r="H35" s="248">
        <v>3600</v>
      </c>
      <c r="I35" s="246" t="s">
        <v>607</v>
      </c>
      <c r="J35" s="246" t="s">
        <v>2</v>
      </c>
      <c r="K35" s="246" t="s">
        <v>677</v>
      </c>
      <c r="L35" s="243"/>
      <c r="M35" s="197">
        <v>9.8000000000000007</v>
      </c>
      <c r="N35" s="197">
        <f>1.95+2.95</f>
        <v>4.9000000000000004</v>
      </c>
      <c r="O35" s="197">
        <f>M35-N35</f>
        <v>4.9000000000000004</v>
      </c>
      <c r="U35" s="197">
        <f>1.8*2.1</f>
        <v>3.7800000000000002</v>
      </c>
      <c r="Z35" s="197">
        <f>N35*H35/1000-T35</f>
        <v>17.64</v>
      </c>
      <c r="AE35" s="197">
        <f>O35*H35/1000-U35</f>
        <v>13.86</v>
      </c>
    </row>
    <row r="36" spans="1:40" ht="24.95" customHeight="1" x14ac:dyDescent="0.2">
      <c r="A36" s="239">
        <v>35</v>
      </c>
      <c r="B36" s="197" t="s">
        <v>111</v>
      </c>
      <c r="C36" s="197" t="s">
        <v>112</v>
      </c>
      <c r="D36" s="246" t="s">
        <v>982</v>
      </c>
      <c r="E36" s="243" t="s">
        <v>983</v>
      </c>
      <c r="F36" s="250">
        <v>8.9</v>
      </c>
      <c r="G36" s="250"/>
      <c r="H36" s="248">
        <v>3600</v>
      </c>
      <c r="I36" s="246" t="s">
        <v>607</v>
      </c>
      <c r="J36" s="246" t="s">
        <v>2</v>
      </c>
      <c r="K36" s="246" t="s">
        <v>677</v>
      </c>
      <c r="L36" s="243"/>
      <c r="M36" s="197">
        <v>13.95</v>
      </c>
      <c r="N36" s="197">
        <v>4.05</v>
      </c>
      <c r="O36" s="197">
        <f>M36-N36</f>
        <v>9.8999999999999986</v>
      </c>
      <c r="U36" s="197">
        <f>1.8*2.1+1.85*2.1</f>
        <v>7.6650000000000009</v>
      </c>
      <c r="Z36" s="197">
        <f>N36*H36/1000-T36</f>
        <v>14.58</v>
      </c>
      <c r="AE36" s="197">
        <f>O36*H36/1000-U36</f>
        <v>27.974999999999994</v>
      </c>
    </row>
    <row r="37" spans="1:40" ht="24.95" customHeight="1" x14ac:dyDescent="0.2">
      <c r="A37" s="239">
        <v>36</v>
      </c>
      <c r="B37" s="197" t="s">
        <v>111</v>
      </c>
      <c r="C37" s="197" t="s">
        <v>112</v>
      </c>
      <c r="D37" s="246" t="s">
        <v>1008</v>
      </c>
      <c r="E37" s="243" t="s">
        <v>1009</v>
      </c>
      <c r="F37" s="250">
        <v>18.2</v>
      </c>
      <c r="G37" s="250"/>
      <c r="H37" s="248">
        <v>3600</v>
      </c>
      <c r="I37" s="246" t="s">
        <v>609</v>
      </c>
      <c r="J37" s="246" t="s">
        <v>2</v>
      </c>
      <c r="K37" s="246" t="s">
        <v>677</v>
      </c>
      <c r="L37" s="243"/>
      <c r="M37" s="197">
        <v>18.75</v>
      </c>
      <c r="N37" s="197">
        <f>0.75+6.65</f>
        <v>7.4</v>
      </c>
      <c r="O37" s="197">
        <f>M37-N37</f>
        <v>11.35</v>
      </c>
      <c r="U37" s="197">
        <f>1.1*2.1*2</f>
        <v>4.620000000000001</v>
      </c>
      <c r="Z37" s="197">
        <f>N37*H37/1000-T37</f>
        <v>26.64</v>
      </c>
      <c r="AE37" s="197">
        <f>O37*H37/1000-U37</f>
        <v>36.239999999999995</v>
      </c>
    </row>
    <row r="38" spans="1:40" ht="24.95" customHeight="1" x14ac:dyDescent="0.2">
      <c r="A38" s="197">
        <v>37</v>
      </c>
      <c r="B38" s="197" t="s">
        <v>111</v>
      </c>
      <c r="C38" s="197" t="s">
        <v>112</v>
      </c>
      <c r="D38" s="246" t="s">
        <v>1010</v>
      </c>
      <c r="E38" s="243" t="s">
        <v>1011</v>
      </c>
      <c r="F38" s="250">
        <v>45.65</v>
      </c>
      <c r="G38" s="250"/>
      <c r="H38" s="248">
        <v>2800</v>
      </c>
      <c r="I38" s="246" t="s">
        <v>609</v>
      </c>
      <c r="J38" s="246" t="s">
        <v>2</v>
      </c>
      <c r="K38" s="246" t="s">
        <v>677</v>
      </c>
      <c r="L38" s="243"/>
      <c r="M38" s="197">
        <v>31.3</v>
      </c>
      <c r="N38" s="197">
        <f>10.25+11.5</f>
        <v>21.75</v>
      </c>
      <c r="O38" s="197">
        <f>M38-N38</f>
        <v>9.5500000000000007</v>
      </c>
      <c r="U38" s="197">
        <f>1.9*2.1+1.825*2.5+0.86+2.5</f>
        <v>11.9125</v>
      </c>
      <c r="Z38" s="197">
        <f>N38*H38/1000-T38</f>
        <v>60.9</v>
      </c>
      <c r="AE38" s="197">
        <f>O38*H38/1000-U38</f>
        <v>14.827500000000002</v>
      </c>
    </row>
    <row r="39" spans="1:40" ht="24.95" customHeight="1" x14ac:dyDescent="0.2">
      <c r="A39" s="239">
        <v>38</v>
      </c>
      <c r="B39" s="197" t="s">
        <v>111</v>
      </c>
      <c r="C39" s="197" t="s">
        <v>112</v>
      </c>
      <c r="D39" s="246" t="s">
        <v>984</v>
      </c>
      <c r="E39" s="243" t="s">
        <v>985</v>
      </c>
      <c r="F39" s="250">
        <v>3.65</v>
      </c>
      <c r="G39" s="251">
        <f>H39/1000</f>
        <v>3.6</v>
      </c>
      <c r="H39" s="242">
        <f>2800+800</f>
        <v>3600</v>
      </c>
      <c r="I39" s="246" t="s">
        <v>607</v>
      </c>
      <c r="J39" s="246" t="s">
        <v>8</v>
      </c>
      <c r="K39" s="242" t="s">
        <v>9</v>
      </c>
      <c r="L39" s="245"/>
      <c r="M39" s="197">
        <f>7.75-2.05</f>
        <v>5.7</v>
      </c>
      <c r="N39" s="197">
        <f>7.75-2.05</f>
        <v>5.7</v>
      </c>
      <c r="T39" s="197">
        <f>1.825*2.5</f>
        <v>4.5625</v>
      </c>
      <c r="AD39" s="197">
        <f>N39*G39-T39</f>
        <v>15.9575</v>
      </c>
    </row>
    <row r="40" spans="1:40" ht="24.95" customHeight="1" x14ac:dyDescent="0.2">
      <c r="A40" s="239">
        <v>39</v>
      </c>
      <c r="B40" s="197" t="s">
        <v>111</v>
      </c>
      <c r="C40" s="197" t="s">
        <v>112</v>
      </c>
      <c r="D40" s="246" t="s">
        <v>1012</v>
      </c>
      <c r="E40" s="243" t="s">
        <v>1013</v>
      </c>
      <c r="F40" s="250">
        <v>4.3</v>
      </c>
      <c r="G40" s="250"/>
      <c r="H40" s="242">
        <v>3200</v>
      </c>
      <c r="I40" s="246" t="s">
        <v>609</v>
      </c>
      <c r="J40" s="246" t="s">
        <v>2</v>
      </c>
      <c r="K40" s="246" t="s">
        <v>1014</v>
      </c>
      <c r="L40" s="243"/>
      <c r="M40" s="197">
        <f>8.65-2.05</f>
        <v>6.6000000000000005</v>
      </c>
      <c r="N40" s="197">
        <f>M40-O40</f>
        <v>4.3000000000000007</v>
      </c>
      <c r="O40" s="197">
        <v>2.2999999999999998</v>
      </c>
      <c r="U40" s="197">
        <f>0.86*2.5</f>
        <v>2.15</v>
      </c>
      <c r="Z40" s="197">
        <f>N40*H40/1000-T40</f>
        <v>13.760000000000002</v>
      </c>
      <c r="AE40" s="197">
        <f>O40*H40/1000-U40</f>
        <v>5.2099999999999991</v>
      </c>
    </row>
    <row r="41" spans="1:40" ht="24.95" customHeight="1" x14ac:dyDescent="0.2">
      <c r="A41" s="197">
        <v>40</v>
      </c>
      <c r="B41" s="197" t="s">
        <v>111</v>
      </c>
      <c r="C41" s="197" t="s">
        <v>112</v>
      </c>
      <c r="D41" s="246" t="s">
        <v>992</v>
      </c>
      <c r="E41" s="243" t="s">
        <v>993</v>
      </c>
      <c r="F41" s="250">
        <v>15.2</v>
      </c>
      <c r="G41" s="251">
        <f>H41/1000</f>
        <v>2.25</v>
      </c>
      <c r="H41" s="242">
        <v>2250</v>
      </c>
      <c r="I41" s="246" t="s">
        <v>608</v>
      </c>
      <c r="J41" s="246" t="s">
        <v>8</v>
      </c>
      <c r="K41" s="246" t="s">
        <v>994</v>
      </c>
      <c r="L41" s="243"/>
      <c r="M41" s="197">
        <v>23.4</v>
      </c>
      <c r="N41" s="197">
        <f>M41</f>
        <v>23.4</v>
      </c>
      <c r="AD41" s="197">
        <f>N41*G41-T41</f>
        <v>52.65</v>
      </c>
    </row>
    <row r="42" spans="1:40" ht="24.95" customHeight="1" x14ac:dyDescent="0.2">
      <c r="A42" s="239">
        <v>41</v>
      </c>
      <c r="B42" s="197" t="s">
        <v>111</v>
      </c>
      <c r="C42" s="197" t="s">
        <v>112</v>
      </c>
      <c r="D42" s="246" t="s">
        <v>995</v>
      </c>
      <c r="E42" s="243" t="s">
        <v>996</v>
      </c>
      <c r="F42" s="250">
        <v>12.45</v>
      </c>
      <c r="G42" s="251">
        <f>H42/1000</f>
        <v>1.44</v>
      </c>
      <c r="H42" s="242">
        <v>1440</v>
      </c>
      <c r="I42" s="246" t="s">
        <v>608</v>
      </c>
      <c r="J42" s="246" t="s">
        <v>8</v>
      </c>
      <c r="K42" s="246" t="s">
        <v>997</v>
      </c>
      <c r="L42" s="243"/>
      <c r="M42" s="197">
        <v>16.5</v>
      </c>
      <c r="N42" s="197">
        <f>M42</f>
        <v>16.5</v>
      </c>
      <c r="T42" s="197">
        <f>2*1</f>
        <v>2</v>
      </c>
      <c r="AD42" s="197">
        <f>N42*G42-T42</f>
        <v>21.759999999999998</v>
      </c>
    </row>
    <row r="43" spans="1:40" ht="24.95" customHeight="1" x14ac:dyDescent="0.2">
      <c r="A43" s="239">
        <v>42</v>
      </c>
      <c r="B43" s="197" t="s">
        <v>111</v>
      </c>
      <c r="C43" s="197" t="s">
        <v>112</v>
      </c>
      <c r="D43" s="246" t="s">
        <v>998</v>
      </c>
      <c r="E43" s="243" t="s">
        <v>999</v>
      </c>
      <c r="F43" s="250">
        <v>8.3000000000000007</v>
      </c>
      <c r="G43" s="251">
        <f>H43/1000</f>
        <v>2.5</v>
      </c>
      <c r="H43" s="242">
        <v>2500</v>
      </c>
      <c r="I43" s="246" t="s">
        <v>608</v>
      </c>
      <c r="J43" s="246" t="s">
        <v>8</v>
      </c>
      <c r="K43" s="246" t="s">
        <v>994</v>
      </c>
      <c r="L43" s="243"/>
      <c r="M43" s="197">
        <v>13.2</v>
      </c>
      <c r="N43" s="197">
        <f>M43</f>
        <v>13.2</v>
      </c>
      <c r="T43" s="197">
        <f>1.8*1.4</f>
        <v>2.52</v>
      </c>
      <c r="AD43" s="197">
        <f>N43*G43-T43</f>
        <v>30.48</v>
      </c>
    </row>
    <row r="44" spans="1:40" x14ac:dyDescent="0.2">
      <c r="A44" s="239">
        <v>48</v>
      </c>
      <c r="B44" s="197" t="s">
        <v>111</v>
      </c>
      <c r="C44" s="197" t="s">
        <v>113</v>
      </c>
      <c r="D44" s="242"/>
      <c r="E44" s="243" t="s">
        <v>1273</v>
      </c>
      <c r="F44" s="244"/>
      <c r="G44" s="244"/>
      <c r="H44" s="242"/>
      <c r="I44" s="245"/>
      <c r="J44" s="245"/>
      <c r="K44" s="242"/>
      <c r="L44" s="245"/>
    </row>
    <row r="45" spans="1:40" x14ac:dyDescent="0.2">
      <c r="A45" s="197">
        <v>49</v>
      </c>
      <c r="B45" s="197" t="s">
        <v>111</v>
      </c>
      <c r="C45" s="197" t="s">
        <v>113</v>
      </c>
      <c r="D45" s="242"/>
      <c r="E45" s="243" t="s">
        <v>1270</v>
      </c>
      <c r="F45" s="244"/>
      <c r="G45" s="244"/>
      <c r="H45" s="242"/>
      <c r="I45" s="245"/>
      <c r="J45" s="245"/>
      <c r="K45" s="242"/>
      <c r="L45" s="245"/>
    </row>
    <row r="46" spans="1:40" x14ac:dyDescent="0.2">
      <c r="A46" s="239">
        <v>50</v>
      </c>
      <c r="B46" s="197" t="s">
        <v>111</v>
      </c>
      <c r="C46" s="197" t="s">
        <v>113</v>
      </c>
      <c r="D46" s="246" t="s">
        <v>706</v>
      </c>
      <c r="E46" s="243" t="s">
        <v>673</v>
      </c>
      <c r="F46" s="250">
        <v>43.6</v>
      </c>
      <c r="G46" s="250"/>
      <c r="H46" s="248" t="s">
        <v>269</v>
      </c>
      <c r="I46" s="246" t="s">
        <v>603</v>
      </c>
      <c r="J46" s="246" t="s">
        <v>15</v>
      </c>
      <c r="K46" s="246" t="s">
        <v>674</v>
      </c>
      <c r="L46" s="243"/>
      <c r="M46" s="197">
        <f>31+10.2</f>
        <v>41.2</v>
      </c>
      <c r="N46" s="197">
        <f>M46-O46-P46-Q46</f>
        <v>32.450000000000003</v>
      </c>
      <c r="O46" s="197">
        <v>2.4</v>
      </c>
      <c r="P46" s="197">
        <v>4.5</v>
      </c>
      <c r="Q46" s="197">
        <v>1.85</v>
      </c>
      <c r="T46" s="197">
        <f>1.1*2.1+0.95*2.1*2+4.045*2.25</f>
        <v>15.401250000000001</v>
      </c>
      <c r="Z46" s="197">
        <f>N46*H46/1000-T46</f>
        <v>65.723749999999995</v>
      </c>
      <c r="AF46" s="197">
        <f>O46*H46/1000-U46</f>
        <v>6</v>
      </c>
      <c r="AM46" s="197">
        <f>P46*H46/1000-V46</f>
        <v>11.25</v>
      </c>
      <c r="AN46" s="197">
        <f>Q46*H46/1000-W46</f>
        <v>4.625</v>
      </c>
    </row>
    <row r="47" spans="1:40" x14ac:dyDescent="0.2">
      <c r="A47" s="239">
        <v>51</v>
      </c>
      <c r="B47" s="197" t="s">
        <v>111</v>
      </c>
      <c r="C47" s="197" t="s">
        <v>113</v>
      </c>
      <c r="D47" s="246" t="s">
        <v>986</v>
      </c>
      <c r="E47" s="243" t="s">
        <v>660</v>
      </c>
      <c r="F47" s="250">
        <v>6.15</v>
      </c>
      <c r="G47" s="251">
        <f>H47/1000</f>
        <v>18.82</v>
      </c>
      <c r="H47" s="242">
        <v>18820</v>
      </c>
      <c r="I47" s="246" t="s">
        <v>607</v>
      </c>
      <c r="J47" s="246" t="s">
        <v>270</v>
      </c>
      <c r="K47" s="242" t="s">
        <v>9</v>
      </c>
      <c r="L47" s="245"/>
      <c r="M47" s="197">
        <v>10.1</v>
      </c>
      <c r="N47" s="197">
        <v>10.1</v>
      </c>
      <c r="T47" s="197">
        <f>1.1*2.1*5</f>
        <v>11.550000000000002</v>
      </c>
      <c r="AA47" s="197">
        <f>N47*G47-T47</f>
        <v>178.53199999999998</v>
      </c>
    </row>
    <row r="48" spans="1:40" x14ac:dyDescent="0.2">
      <c r="A48" s="197">
        <v>52</v>
      </c>
      <c r="B48" s="197" t="s">
        <v>111</v>
      </c>
      <c r="C48" s="197" t="s">
        <v>113</v>
      </c>
      <c r="D48" s="246" t="s">
        <v>987</v>
      </c>
      <c r="E48" s="243" t="s">
        <v>644</v>
      </c>
      <c r="F48" s="250">
        <v>4.5</v>
      </c>
      <c r="G48" s="251">
        <f>H48/1000</f>
        <v>18.82</v>
      </c>
      <c r="H48" s="242">
        <v>18820</v>
      </c>
      <c r="I48" s="246" t="s">
        <v>607</v>
      </c>
      <c r="J48" s="246" t="s">
        <v>270</v>
      </c>
      <c r="K48" s="242" t="s">
        <v>9</v>
      </c>
      <c r="L48" s="245"/>
      <c r="M48" s="197">
        <v>8.5</v>
      </c>
      <c r="N48" s="197">
        <v>8.5</v>
      </c>
      <c r="T48" s="197">
        <f>1.1*2.1*5</f>
        <v>11.550000000000002</v>
      </c>
      <c r="AA48" s="197">
        <f>N48*G48-T48</f>
        <v>148.41999999999999</v>
      </c>
    </row>
    <row r="49" spans="1:37" x14ac:dyDescent="0.2">
      <c r="A49" s="239">
        <v>53</v>
      </c>
      <c r="B49" s="197" t="s">
        <v>111</v>
      </c>
      <c r="C49" s="197" t="s">
        <v>113</v>
      </c>
      <c r="D49" s="246" t="s">
        <v>707</v>
      </c>
      <c r="E49" s="243" t="s">
        <v>679</v>
      </c>
      <c r="F49" s="250">
        <v>113.85</v>
      </c>
      <c r="G49" s="250"/>
      <c r="H49" s="248">
        <v>2930</v>
      </c>
      <c r="I49" s="246" t="s">
        <v>603</v>
      </c>
      <c r="J49" s="246" t="s">
        <v>2</v>
      </c>
      <c r="K49" s="246" t="s">
        <v>677</v>
      </c>
      <c r="L49" s="243"/>
      <c r="M49" s="197">
        <f>83.6-2.17-3-4.4</f>
        <v>74.029999999999987</v>
      </c>
      <c r="N49" s="197">
        <f>2.8+0.3+30.6+0.2+4.45+0.3*2</f>
        <v>38.95000000000001</v>
      </c>
      <c r="O49" s="197">
        <f>M49-N49</f>
        <v>35.079999999999977</v>
      </c>
      <c r="T49" s="197">
        <f>4.05*2.25</f>
        <v>9.1124999999999989</v>
      </c>
      <c r="U49" s="197">
        <f>1.1*2.1+1.2*2.1*2+1.6*2.1</f>
        <v>10.71</v>
      </c>
      <c r="Z49" s="197">
        <f>N49*H49/1000-T49</f>
        <v>105.01100000000004</v>
      </c>
      <c r="AE49" s="197">
        <f>O49*H49/1000-U49</f>
        <v>92.07439999999994</v>
      </c>
    </row>
    <row r="50" spans="1:37" x14ac:dyDescent="0.2">
      <c r="A50" s="239">
        <v>54</v>
      </c>
      <c r="B50" s="197" t="s">
        <v>111</v>
      </c>
      <c r="C50" s="197" t="s">
        <v>113</v>
      </c>
      <c r="D50" s="246" t="s">
        <v>708</v>
      </c>
      <c r="E50" s="243" t="s">
        <v>679</v>
      </c>
      <c r="F50" s="250">
        <v>25.8</v>
      </c>
      <c r="G50" s="250"/>
      <c r="H50" s="248">
        <v>2930</v>
      </c>
      <c r="I50" s="246" t="s">
        <v>603</v>
      </c>
      <c r="J50" s="246" t="s">
        <v>2</v>
      </c>
      <c r="K50" s="246" t="s">
        <v>677</v>
      </c>
      <c r="L50" s="243"/>
      <c r="M50" s="197">
        <f>27.4-2.17</f>
        <v>25.229999999999997</v>
      </c>
      <c r="N50" s="197">
        <f>0.8+2.5+2.25</f>
        <v>5.55</v>
      </c>
      <c r="O50" s="197">
        <f>M50-N50</f>
        <v>19.679999999999996</v>
      </c>
      <c r="T50" s="197">
        <f>1.1*2.1</f>
        <v>2.3100000000000005</v>
      </c>
      <c r="U50" s="197">
        <f>1.2*2.1+2*2.1</f>
        <v>6.7200000000000006</v>
      </c>
      <c r="Z50" s="197">
        <f>N50*H50/1000-T50</f>
        <v>13.951500000000001</v>
      </c>
      <c r="AE50" s="197">
        <f>O50*H50/1000-U50</f>
        <v>50.942399999999985</v>
      </c>
    </row>
    <row r="51" spans="1:37" x14ac:dyDescent="0.2">
      <c r="A51" s="197">
        <v>55</v>
      </c>
      <c r="B51" s="197" t="s">
        <v>111</v>
      </c>
      <c r="C51" s="197" t="s">
        <v>113</v>
      </c>
      <c r="D51" s="246" t="s">
        <v>709</v>
      </c>
      <c r="E51" s="243" t="s">
        <v>679</v>
      </c>
      <c r="F51" s="250">
        <v>22.95</v>
      </c>
      <c r="G51" s="250"/>
      <c r="H51" s="248">
        <v>2930</v>
      </c>
      <c r="I51" s="246" t="s">
        <v>603</v>
      </c>
      <c r="J51" s="246" t="s">
        <v>2</v>
      </c>
      <c r="K51" s="246" t="s">
        <v>677</v>
      </c>
      <c r="L51" s="243"/>
      <c r="M51" s="197">
        <f>21.2-5.45-4.4-2.45</f>
        <v>8.8999999999999986</v>
      </c>
      <c r="N51" s="197">
        <v>2.25</v>
      </c>
      <c r="O51" s="197">
        <f>M51-N51</f>
        <v>6.6499999999999986</v>
      </c>
      <c r="T51" s="197">
        <f>1.3*2.1</f>
        <v>2.7300000000000004</v>
      </c>
      <c r="U51" s="197">
        <f>1.1*2.1</f>
        <v>2.3100000000000005</v>
      </c>
      <c r="Z51" s="197">
        <f>N51*H51/1000-T51</f>
        <v>3.8624999999999998</v>
      </c>
      <c r="AE51" s="197">
        <f>O51*H51/1000-U51</f>
        <v>17.174499999999995</v>
      </c>
    </row>
    <row r="52" spans="1:37" ht="30" x14ac:dyDescent="0.2">
      <c r="A52" s="239">
        <v>56</v>
      </c>
      <c r="B52" s="197" t="s">
        <v>111</v>
      </c>
      <c r="C52" s="197" t="s">
        <v>113</v>
      </c>
      <c r="D52" s="246" t="s">
        <v>710</v>
      </c>
      <c r="E52" s="243" t="s">
        <v>711</v>
      </c>
      <c r="F52" s="250">
        <v>18.45</v>
      </c>
      <c r="G52" s="250"/>
      <c r="H52" s="248">
        <v>2930</v>
      </c>
      <c r="I52" s="246" t="s">
        <v>603</v>
      </c>
      <c r="J52" s="246" t="s">
        <v>3</v>
      </c>
      <c r="K52" s="246" t="s">
        <v>677</v>
      </c>
      <c r="L52" s="243"/>
      <c r="M52" s="197">
        <f>18.4-5.45</f>
        <v>12.95</v>
      </c>
      <c r="N52" s="197">
        <f>M52-O52</f>
        <v>9.75</v>
      </c>
      <c r="O52" s="197">
        <f>2+1.2</f>
        <v>3.2</v>
      </c>
      <c r="Z52" s="197">
        <f>N52*H52/1000-T52</f>
        <v>28.567499999999999</v>
      </c>
      <c r="AE52" s="197">
        <f>O52*H52/1000-U52</f>
        <v>9.3759999999999994</v>
      </c>
    </row>
    <row r="53" spans="1:37" ht="30" x14ac:dyDescent="0.2">
      <c r="A53" s="239">
        <v>57</v>
      </c>
      <c r="B53" s="197" t="s">
        <v>111</v>
      </c>
      <c r="C53" s="197" t="s">
        <v>113</v>
      </c>
      <c r="D53" s="246" t="s">
        <v>712</v>
      </c>
      <c r="E53" s="252" t="s">
        <v>16</v>
      </c>
      <c r="F53" s="250">
        <v>30</v>
      </c>
      <c r="G53" s="251">
        <f>H53/1000</f>
        <v>2.4</v>
      </c>
      <c r="H53" s="248">
        <v>2400</v>
      </c>
      <c r="I53" s="246" t="s">
        <v>603</v>
      </c>
      <c r="J53" s="246" t="s">
        <v>17</v>
      </c>
      <c r="K53" s="253" t="s">
        <v>18</v>
      </c>
      <c r="L53" s="245"/>
      <c r="M53" s="197">
        <v>29</v>
      </c>
      <c r="N53" s="197">
        <f>M53</f>
        <v>29</v>
      </c>
      <c r="T53" s="197">
        <f>1.2*2.1</f>
        <v>2.52</v>
      </c>
      <c r="AH53" s="197">
        <f>N53*G53-T53</f>
        <v>67.08</v>
      </c>
    </row>
    <row r="54" spans="1:37" ht="30" x14ac:dyDescent="0.2">
      <c r="A54" s="197">
        <v>58</v>
      </c>
      <c r="B54" s="197" t="s">
        <v>111</v>
      </c>
      <c r="C54" s="197" t="s">
        <v>113</v>
      </c>
      <c r="D54" s="246" t="s">
        <v>713</v>
      </c>
      <c r="E54" s="252" t="s">
        <v>19</v>
      </c>
      <c r="F54" s="250">
        <v>42.85</v>
      </c>
      <c r="G54" s="251">
        <f>H54/1000</f>
        <v>2.4</v>
      </c>
      <c r="H54" s="248">
        <v>2400</v>
      </c>
      <c r="I54" s="246" t="s">
        <v>603</v>
      </c>
      <c r="J54" s="246" t="s">
        <v>17</v>
      </c>
      <c r="K54" s="253" t="s">
        <v>18</v>
      </c>
      <c r="L54" s="245"/>
      <c r="M54" s="197">
        <f>32.15</f>
        <v>32.15</v>
      </c>
      <c r="N54" s="197">
        <f>M54</f>
        <v>32.15</v>
      </c>
      <c r="T54" s="197">
        <f>1.2*2.1</f>
        <v>2.52</v>
      </c>
      <c r="AH54" s="197">
        <f>N54*G54-T54</f>
        <v>74.64</v>
      </c>
    </row>
    <row r="55" spans="1:37" x14ac:dyDescent="0.2">
      <c r="A55" s="239">
        <v>59</v>
      </c>
      <c r="B55" s="197" t="s">
        <v>111</v>
      </c>
      <c r="C55" s="197" t="s">
        <v>113</v>
      </c>
      <c r="D55" s="246" t="s">
        <v>714</v>
      </c>
      <c r="E55" s="243" t="s">
        <v>715</v>
      </c>
      <c r="F55" s="250">
        <v>44.45</v>
      </c>
      <c r="G55" s="250"/>
      <c r="H55" s="248">
        <v>2930</v>
      </c>
      <c r="I55" s="246" t="s">
        <v>603</v>
      </c>
      <c r="J55" s="246" t="s">
        <v>2</v>
      </c>
      <c r="K55" s="246" t="s">
        <v>677</v>
      </c>
      <c r="L55" s="243"/>
      <c r="M55" s="197">
        <v>26.65</v>
      </c>
      <c r="N55" s="197">
        <f>0.8+0.4+0.4+0.6</f>
        <v>2.2000000000000002</v>
      </c>
      <c r="O55" s="197">
        <f>M55-N55</f>
        <v>24.45</v>
      </c>
      <c r="U55" s="197">
        <f>1.6*2.1</f>
        <v>3.3600000000000003</v>
      </c>
      <c r="Z55" s="197">
        <f>N55*H55/1000-T55</f>
        <v>6.4460000000000006</v>
      </c>
      <c r="AE55" s="197">
        <f>O55*H55/1000-U55</f>
        <v>68.278499999999994</v>
      </c>
    </row>
    <row r="56" spans="1:37" x14ac:dyDescent="0.2">
      <c r="A56" s="239">
        <v>60</v>
      </c>
      <c r="B56" s="197" t="s">
        <v>111</v>
      </c>
      <c r="C56" s="197" t="s">
        <v>113</v>
      </c>
      <c r="D56" s="246" t="s">
        <v>716</v>
      </c>
      <c r="E56" s="243" t="s">
        <v>686</v>
      </c>
      <c r="F56" s="250">
        <v>24.05</v>
      </c>
      <c r="G56" s="250"/>
      <c r="H56" s="248">
        <v>2930</v>
      </c>
      <c r="I56" s="246" t="s">
        <v>603</v>
      </c>
      <c r="J56" s="246" t="s">
        <v>2</v>
      </c>
      <c r="K56" s="246" t="s">
        <v>677</v>
      </c>
      <c r="L56" s="243"/>
      <c r="M56" s="197">
        <v>26.8</v>
      </c>
      <c r="N56" s="197">
        <f>M56-O56</f>
        <v>13.700000000000001</v>
      </c>
      <c r="O56" s="197">
        <f>4.45+6.7+1.95</f>
        <v>13.1</v>
      </c>
      <c r="U56" s="197">
        <f>1.2*2.1</f>
        <v>2.52</v>
      </c>
      <c r="Z56" s="197">
        <f>N56*H56/1000-T56</f>
        <v>40.140999999999998</v>
      </c>
      <c r="AE56" s="197">
        <f>O56*H56/1000-U56</f>
        <v>35.863</v>
      </c>
    </row>
    <row r="57" spans="1:37" ht="45" x14ac:dyDescent="0.2">
      <c r="A57" s="197">
        <v>61</v>
      </c>
      <c r="B57" s="197" t="s">
        <v>111</v>
      </c>
      <c r="C57" s="197" t="s">
        <v>113</v>
      </c>
      <c r="D57" s="246" t="s">
        <v>717</v>
      </c>
      <c r="E57" s="243" t="s">
        <v>718</v>
      </c>
      <c r="F57" s="250">
        <v>82.55</v>
      </c>
      <c r="G57" s="250"/>
      <c r="H57" s="248">
        <v>2930</v>
      </c>
      <c r="I57" s="246" t="s">
        <v>603</v>
      </c>
      <c r="J57" s="246" t="s">
        <v>2</v>
      </c>
      <c r="K57" s="246" t="s">
        <v>677</v>
      </c>
      <c r="L57" s="243"/>
      <c r="M57" s="197">
        <f>40.3+0.8*2+0.2*2+0.6*2+0.3*2</f>
        <v>44.1</v>
      </c>
      <c r="N57" s="197">
        <f>7.95+8.85+0.3*2+0.6*2+0.2*2+0.8*2</f>
        <v>20.6</v>
      </c>
      <c r="O57" s="197">
        <f>M57-N57</f>
        <v>23.5</v>
      </c>
      <c r="U57" s="197">
        <f>2*2.1</f>
        <v>4.2</v>
      </c>
      <c r="Z57" s="197">
        <f>N57*H57/1000-T57</f>
        <v>60.358000000000004</v>
      </c>
      <c r="AE57" s="197">
        <f>O57*H57/1000-U57</f>
        <v>64.655000000000001</v>
      </c>
    </row>
    <row r="58" spans="1:37" x14ac:dyDescent="0.2">
      <c r="A58" s="239">
        <v>62</v>
      </c>
      <c r="B58" s="197" t="s">
        <v>111</v>
      </c>
      <c r="C58" s="197" t="s">
        <v>113</v>
      </c>
      <c r="D58" s="246" t="s">
        <v>719</v>
      </c>
      <c r="E58" s="243" t="s">
        <v>720</v>
      </c>
      <c r="F58" s="250">
        <v>15.55</v>
      </c>
      <c r="G58" s="250"/>
      <c r="H58" s="248">
        <v>2400</v>
      </c>
      <c r="I58" s="246" t="s">
        <v>603</v>
      </c>
      <c r="J58" s="246" t="s">
        <v>2</v>
      </c>
      <c r="K58" s="246" t="s">
        <v>677</v>
      </c>
      <c r="L58" s="243"/>
      <c r="M58" s="197">
        <v>16.149999999999999</v>
      </c>
      <c r="N58" s="197">
        <f>3.15+3.25</f>
        <v>6.4</v>
      </c>
      <c r="O58" s="197">
        <f>M58-N58</f>
        <v>9.7499999999999982</v>
      </c>
      <c r="U58" s="197">
        <f>1.1*2.1</f>
        <v>2.3100000000000005</v>
      </c>
      <c r="Z58" s="197">
        <f>N58*H58/1000-T58</f>
        <v>15.36</v>
      </c>
      <c r="AE58" s="197">
        <f>O58*H58/1000-U58</f>
        <v>21.089999999999996</v>
      </c>
    </row>
    <row r="59" spans="1:37" x14ac:dyDescent="0.2">
      <c r="A59" s="239">
        <v>63</v>
      </c>
      <c r="B59" s="197" t="s">
        <v>111</v>
      </c>
      <c r="C59" s="197" t="s">
        <v>113</v>
      </c>
      <c r="D59" s="246" t="s">
        <v>988</v>
      </c>
      <c r="E59" s="243" t="s">
        <v>989</v>
      </c>
      <c r="F59" s="250">
        <v>7.25</v>
      </c>
      <c r="G59" s="251">
        <f>H59/1000</f>
        <v>8.11</v>
      </c>
      <c r="H59" s="242">
        <v>8110</v>
      </c>
      <c r="I59" s="246" t="s">
        <v>607</v>
      </c>
      <c r="J59" s="246" t="s">
        <v>270</v>
      </c>
      <c r="K59" s="242" t="s">
        <v>9</v>
      </c>
      <c r="L59" s="245"/>
      <c r="M59" s="197">
        <v>10.75</v>
      </c>
      <c r="N59" s="197">
        <f>M59</f>
        <v>10.75</v>
      </c>
      <c r="T59" s="197">
        <f>1.3*2.1</f>
        <v>2.7300000000000004</v>
      </c>
      <c r="AA59" s="197">
        <f>N59*G59-T59</f>
        <v>84.452499999999986</v>
      </c>
    </row>
    <row r="60" spans="1:37" ht="30" x14ac:dyDescent="0.2">
      <c r="A60" s="197">
        <v>64</v>
      </c>
      <c r="B60" s="197" t="s">
        <v>111</v>
      </c>
      <c r="C60" s="197" t="s">
        <v>113</v>
      </c>
      <c r="D60" s="246" t="s">
        <v>721</v>
      </c>
      <c r="E60" s="243" t="s">
        <v>722</v>
      </c>
      <c r="F60" s="250">
        <v>12.1</v>
      </c>
      <c r="G60" s="250"/>
      <c r="H60" s="248">
        <v>2930</v>
      </c>
      <c r="I60" s="246" t="s">
        <v>603</v>
      </c>
      <c r="J60" s="246" t="s">
        <v>2</v>
      </c>
      <c r="K60" s="253" t="s">
        <v>20</v>
      </c>
      <c r="L60" s="243"/>
      <c r="M60" s="197">
        <v>17</v>
      </c>
      <c r="N60" s="197">
        <v>6.7</v>
      </c>
      <c r="O60" s="197">
        <f>M60-N60</f>
        <v>10.3</v>
      </c>
      <c r="U60" s="197">
        <f>1.1*2.1</f>
        <v>2.3100000000000005</v>
      </c>
      <c r="Z60" s="197">
        <f>N60*H60/1000-T60</f>
        <v>19.631</v>
      </c>
      <c r="AE60" s="197">
        <f>O60*H60/1000-U60</f>
        <v>27.869</v>
      </c>
    </row>
    <row r="61" spans="1:37" x14ac:dyDescent="0.2">
      <c r="A61" s="239">
        <v>65</v>
      </c>
      <c r="B61" s="197" t="s">
        <v>111</v>
      </c>
      <c r="C61" s="197" t="s">
        <v>113</v>
      </c>
      <c r="D61" s="246" t="s">
        <v>948</v>
      </c>
      <c r="E61" s="243" t="s">
        <v>941</v>
      </c>
      <c r="F61" s="250">
        <v>21.2</v>
      </c>
      <c r="G61" s="250"/>
      <c r="H61" s="248">
        <v>2400</v>
      </c>
      <c r="I61" s="246" t="s">
        <v>604</v>
      </c>
      <c r="J61" s="246" t="s">
        <v>21</v>
      </c>
      <c r="K61" s="246" t="s">
        <v>949</v>
      </c>
      <c r="L61" s="243"/>
      <c r="M61" s="197">
        <f>22.1-1.75</f>
        <v>20.350000000000001</v>
      </c>
      <c r="N61" s="197">
        <f>0.4+2.55</f>
        <v>2.9499999999999997</v>
      </c>
      <c r="O61" s="197">
        <f>M61-P61-Q61-N61</f>
        <v>10.800000000000002</v>
      </c>
      <c r="P61" s="197">
        <v>2.2000000000000002</v>
      </c>
      <c r="Q61" s="197">
        <v>4.4000000000000004</v>
      </c>
      <c r="T61" s="197">
        <f>0.95*2.1</f>
        <v>1.9949999999999999</v>
      </c>
      <c r="Z61" s="197">
        <f>N61*H61/1000-T61</f>
        <v>5.0849999999999991</v>
      </c>
      <c r="AE61" s="197">
        <f>O61*H61/1000-U61</f>
        <v>25.920000000000009</v>
      </c>
      <c r="AH61" s="197">
        <f>P61*H61/1000-V61</f>
        <v>5.28</v>
      </c>
      <c r="AK61" s="197">
        <f>Q61*H61/1000-W61</f>
        <v>10.56</v>
      </c>
    </row>
    <row r="62" spans="1:37" x14ac:dyDescent="0.2">
      <c r="A62" s="239">
        <v>66</v>
      </c>
      <c r="B62" s="197" t="s">
        <v>111</v>
      </c>
      <c r="C62" s="197" t="s">
        <v>113</v>
      </c>
      <c r="D62" s="246" t="s">
        <v>950</v>
      </c>
      <c r="E62" s="243" t="s">
        <v>943</v>
      </c>
      <c r="F62" s="250">
        <v>2.6</v>
      </c>
      <c r="G62" s="251">
        <f>H62/1000</f>
        <v>2.4</v>
      </c>
      <c r="H62" s="248">
        <v>2400</v>
      </c>
      <c r="I62" s="246" t="s">
        <v>604</v>
      </c>
      <c r="J62" s="246" t="s">
        <v>10</v>
      </c>
      <c r="K62" s="246" t="s">
        <v>767</v>
      </c>
      <c r="L62" s="243"/>
      <c r="M62" s="197">
        <f>8.6-1.725</f>
        <v>6.875</v>
      </c>
      <c r="N62" s="197">
        <v>1.5</v>
      </c>
      <c r="O62" s="197">
        <f>M62-N62</f>
        <v>5.375</v>
      </c>
      <c r="AH62" s="197">
        <f>N62*G62-T62</f>
        <v>3.5999999999999996</v>
      </c>
      <c r="AJ62" s="197">
        <f>O62*G62-U62</f>
        <v>12.9</v>
      </c>
    </row>
    <row r="63" spans="1:37" x14ac:dyDescent="0.2">
      <c r="A63" s="197">
        <v>67</v>
      </c>
      <c r="B63" s="197" t="s">
        <v>111</v>
      </c>
      <c r="C63" s="197" t="s">
        <v>113</v>
      </c>
      <c r="D63" s="246" t="s">
        <v>951</v>
      </c>
      <c r="E63" s="243" t="s">
        <v>945</v>
      </c>
      <c r="F63" s="250">
        <v>2.95</v>
      </c>
      <c r="G63" s="251">
        <f>H63/1000</f>
        <v>2.4</v>
      </c>
      <c r="H63" s="248" t="s">
        <v>272</v>
      </c>
      <c r="I63" s="246" t="s">
        <v>604</v>
      </c>
      <c r="J63" s="246" t="s">
        <v>10</v>
      </c>
      <c r="K63" s="246" t="s">
        <v>756</v>
      </c>
      <c r="L63" s="243"/>
      <c r="M63" s="197">
        <f>8.15-1.65</f>
        <v>6.5</v>
      </c>
      <c r="N63" s="197">
        <f>1.65</f>
        <v>1.65</v>
      </c>
      <c r="O63" s="197">
        <f>M63-N63</f>
        <v>4.8499999999999996</v>
      </c>
      <c r="U63" s="197">
        <f>0.75*2.1</f>
        <v>1.5750000000000002</v>
      </c>
      <c r="AH63" s="197">
        <f>N63*G63-T63</f>
        <v>3.9599999999999995</v>
      </c>
      <c r="AJ63" s="197">
        <f>O63*G63-U63</f>
        <v>10.064999999999998</v>
      </c>
    </row>
    <row r="64" spans="1:37" x14ac:dyDescent="0.2">
      <c r="A64" s="239">
        <v>68</v>
      </c>
      <c r="B64" s="197" t="s">
        <v>111</v>
      </c>
      <c r="C64" s="197" t="s">
        <v>113</v>
      </c>
      <c r="D64" s="246" t="s">
        <v>952</v>
      </c>
      <c r="E64" s="243" t="s">
        <v>947</v>
      </c>
      <c r="F64" s="250">
        <v>1.5</v>
      </c>
      <c r="G64" s="251">
        <f>H64/1000</f>
        <v>2.4</v>
      </c>
      <c r="H64" s="248">
        <v>2400</v>
      </c>
      <c r="I64" s="246" t="s">
        <v>604</v>
      </c>
      <c r="J64" s="246" t="s">
        <v>12</v>
      </c>
      <c r="K64" s="246" t="s">
        <v>949</v>
      </c>
      <c r="L64" s="243"/>
      <c r="M64" s="197">
        <f>4.9-1.65</f>
        <v>3.2500000000000004</v>
      </c>
      <c r="N64" s="197">
        <f>M64</f>
        <v>3.2500000000000004</v>
      </c>
      <c r="AJ64" s="197">
        <f>N64*G64-T64</f>
        <v>7.8000000000000007</v>
      </c>
    </row>
    <row r="65" spans="1:40" x14ac:dyDescent="0.2">
      <c r="A65" s="239">
        <v>69</v>
      </c>
      <c r="B65" s="197" t="s">
        <v>111</v>
      </c>
      <c r="C65" s="197" t="s">
        <v>113</v>
      </c>
      <c r="D65" s="246" t="s">
        <v>953</v>
      </c>
      <c r="E65" s="243" t="s">
        <v>933</v>
      </c>
      <c r="F65" s="250">
        <v>28.35</v>
      </c>
      <c r="G65" s="250"/>
      <c r="H65" s="248">
        <v>2400</v>
      </c>
      <c r="I65" s="246" t="s">
        <v>604</v>
      </c>
      <c r="J65" s="246" t="s">
        <v>23</v>
      </c>
      <c r="K65" s="246" t="s">
        <v>756</v>
      </c>
      <c r="L65" s="243"/>
      <c r="M65" s="197">
        <f>28.3-0.9</f>
        <v>27.400000000000002</v>
      </c>
      <c r="N65" s="197">
        <f>2.65+0.2+0.6+0.3+0.6</f>
        <v>4.3499999999999996</v>
      </c>
      <c r="O65" s="197">
        <f>6.1+6.7</f>
        <v>12.8</v>
      </c>
      <c r="P65" s="197">
        <f>1.1+0.55*2</f>
        <v>2.2000000000000002</v>
      </c>
      <c r="Q65" s="197">
        <f>M65-N65-O65-P65</f>
        <v>8.0500000000000043</v>
      </c>
      <c r="T65" s="197">
        <f>0.95*2.1</f>
        <v>1.9949999999999999</v>
      </c>
      <c r="Z65" s="197">
        <f>N65*H65/1000-T65</f>
        <v>8.4450000000000003</v>
      </c>
      <c r="AE65" s="197">
        <f>O65*H65/1000-U65</f>
        <v>30.72</v>
      </c>
      <c r="AJ65" s="197">
        <f>P65*H65/1000-V65</f>
        <v>5.28</v>
      </c>
      <c r="AK65" s="197">
        <f>Q65*H65/1000-W65</f>
        <v>19.320000000000011</v>
      </c>
    </row>
    <row r="66" spans="1:40" x14ac:dyDescent="0.2">
      <c r="A66" s="197">
        <v>70</v>
      </c>
      <c r="B66" s="197" t="s">
        <v>111</v>
      </c>
      <c r="C66" s="197" t="s">
        <v>113</v>
      </c>
      <c r="D66" s="246" t="s">
        <v>954</v>
      </c>
      <c r="E66" s="243" t="s">
        <v>935</v>
      </c>
      <c r="F66" s="250">
        <v>3.4</v>
      </c>
      <c r="G66" s="251">
        <f>H66/1000</f>
        <v>2.4</v>
      </c>
      <c r="H66" s="248">
        <v>2400</v>
      </c>
      <c r="I66" s="246" t="s">
        <v>604</v>
      </c>
      <c r="J66" s="246" t="s">
        <v>10</v>
      </c>
      <c r="K66" s="246" t="s">
        <v>767</v>
      </c>
      <c r="L66" s="243"/>
      <c r="M66" s="197">
        <f>8.7-0.9</f>
        <v>7.7999999999999989</v>
      </c>
      <c r="N66" s="197">
        <f>0.6+2.5</f>
        <v>3.1</v>
      </c>
      <c r="O66" s="197">
        <f>M66-N66</f>
        <v>4.6999999999999993</v>
      </c>
      <c r="AH66" s="197">
        <f>N66*G66-T66</f>
        <v>7.4399999999999995</v>
      </c>
      <c r="AJ66" s="197">
        <f>O66*G66-U66</f>
        <v>11.279999999999998</v>
      </c>
    </row>
    <row r="67" spans="1:40" x14ac:dyDescent="0.2">
      <c r="A67" s="239">
        <v>71</v>
      </c>
      <c r="B67" s="197" t="s">
        <v>111</v>
      </c>
      <c r="C67" s="197" t="s">
        <v>113</v>
      </c>
      <c r="D67" s="246" t="s">
        <v>955</v>
      </c>
      <c r="E67" s="243" t="s">
        <v>937</v>
      </c>
      <c r="F67" s="250">
        <v>2</v>
      </c>
      <c r="G67" s="251">
        <f>H67/1000</f>
        <v>2.4</v>
      </c>
      <c r="H67" s="248">
        <v>2400</v>
      </c>
      <c r="I67" s="246" t="s">
        <v>604</v>
      </c>
      <c r="J67" s="246" t="s">
        <v>10</v>
      </c>
      <c r="K67" s="246" t="s">
        <v>756</v>
      </c>
      <c r="L67" s="243"/>
      <c r="M67" s="197">
        <f>5.55-1.35</f>
        <v>4.1999999999999993</v>
      </c>
      <c r="N67" s="197">
        <f>1.35</f>
        <v>1.35</v>
      </c>
      <c r="O67" s="197">
        <f>M67-N67</f>
        <v>2.8499999999999992</v>
      </c>
      <c r="U67" s="197">
        <f>0.75*2.1</f>
        <v>1.5750000000000002</v>
      </c>
      <c r="AH67" s="197">
        <f>N67*G67-T67</f>
        <v>3.24</v>
      </c>
      <c r="AJ67" s="197">
        <f>O67*G67-U67</f>
        <v>5.2649999999999979</v>
      </c>
    </row>
    <row r="68" spans="1:40" x14ac:dyDescent="0.2">
      <c r="A68" s="239">
        <v>72</v>
      </c>
      <c r="B68" s="197" t="s">
        <v>111</v>
      </c>
      <c r="C68" s="197" t="s">
        <v>113</v>
      </c>
      <c r="D68" s="246" t="s">
        <v>956</v>
      </c>
      <c r="E68" s="243" t="s">
        <v>939</v>
      </c>
      <c r="F68" s="250">
        <v>1.8</v>
      </c>
      <c r="G68" s="251">
        <f>H68/1000</f>
        <v>2.4</v>
      </c>
      <c r="H68" s="248">
        <v>2400</v>
      </c>
      <c r="I68" s="246" t="s">
        <v>604</v>
      </c>
      <c r="J68" s="246" t="s">
        <v>12</v>
      </c>
      <c r="K68" s="246" t="s">
        <v>949</v>
      </c>
      <c r="L68" s="243"/>
      <c r="M68" s="197">
        <f>5.2-1.35</f>
        <v>3.85</v>
      </c>
      <c r="N68" s="197">
        <f>M68</f>
        <v>3.85</v>
      </c>
      <c r="AJ68" s="197">
        <f>N68*G68-T68</f>
        <v>9.24</v>
      </c>
    </row>
    <row r="69" spans="1:40" x14ac:dyDescent="0.2">
      <c r="A69" s="239">
        <v>78</v>
      </c>
      <c r="B69" s="197" t="s">
        <v>111</v>
      </c>
      <c r="C69" s="197" t="s">
        <v>114</v>
      </c>
      <c r="D69" s="242"/>
      <c r="E69" s="243" t="s">
        <v>1274</v>
      </c>
      <c r="F69" s="244"/>
      <c r="G69" s="244"/>
      <c r="H69" s="242"/>
      <c r="I69" s="242"/>
      <c r="J69" s="242"/>
      <c r="K69" s="242"/>
      <c r="L69" s="245"/>
    </row>
    <row r="70" spans="1:40" x14ac:dyDescent="0.2">
      <c r="A70" s="197">
        <v>79</v>
      </c>
      <c r="B70" s="197" t="s">
        <v>111</v>
      </c>
      <c r="C70" s="197" t="s">
        <v>114</v>
      </c>
      <c r="D70" s="242"/>
      <c r="E70" s="243" t="s">
        <v>1270</v>
      </c>
      <c r="F70" s="244"/>
      <c r="G70" s="244"/>
      <c r="H70" s="242"/>
      <c r="I70" s="242"/>
      <c r="J70" s="242"/>
      <c r="K70" s="242"/>
      <c r="L70" s="245"/>
    </row>
    <row r="71" spans="1:40" x14ac:dyDescent="0.2">
      <c r="A71" s="239">
        <v>80</v>
      </c>
      <c r="B71" s="197" t="s">
        <v>111</v>
      </c>
      <c r="C71" s="197" t="s">
        <v>114</v>
      </c>
      <c r="D71" s="246" t="s">
        <v>723</v>
      </c>
      <c r="E71" s="243" t="s">
        <v>673</v>
      </c>
      <c r="F71" s="254">
        <v>48.3</v>
      </c>
      <c r="G71" s="254"/>
      <c r="H71" s="248" t="s">
        <v>269</v>
      </c>
      <c r="I71" s="246" t="s">
        <v>603</v>
      </c>
      <c r="J71" s="246" t="s">
        <v>25</v>
      </c>
      <c r="K71" s="246" t="s">
        <v>674</v>
      </c>
      <c r="L71" s="243"/>
      <c r="M71" s="197">
        <f>36.2+10.3</f>
        <v>46.5</v>
      </c>
      <c r="N71" s="197">
        <f>M71-O71-P71-Q71-R71</f>
        <v>28.75</v>
      </c>
      <c r="O71" s="197">
        <f>2.9+4.15+2</f>
        <v>9.0500000000000007</v>
      </c>
      <c r="P71" s="197">
        <f>2.35</f>
        <v>2.35</v>
      </c>
      <c r="Q71" s="197">
        <v>4.5</v>
      </c>
      <c r="R71" s="197">
        <v>1.85</v>
      </c>
      <c r="T71" s="197">
        <f>1.1*2.1+0.95*2.1</f>
        <v>4.3050000000000006</v>
      </c>
      <c r="U71" s="197">
        <f>2*2.35+0.95*2.1</f>
        <v>6.6950000000000003</v>
      </c>
      <c r="Z71" s="197">
        <f>N71*H71/1000-T71</f>
        <v>67.569999999999993</v>
      </c>
      <c r="AE71" s="197">
        <f>O71*H71/1000-U71</f>
        <v>15.93</v>
      </c>
      <c r="AF71" s="197">
        <f>P71*H71/1000-V71</f>
        <v>5.875</v>
      </c>
      <c r="AM71" s="197">
        <f>Q71*H71/1000-W71</f>
        <v>11.25</v>
      </c>
      <c r="AN71" s="197">
        <f>R71*H71/1000-X71</f>
        <v>4.625</v>
      </c>
    </row>
    <row r="72" spans="1:40" x14ac:dyDescent="0.2">
      <c r="A72" s="239">
        <v>81</v>
      </c>
      <c r="B72" s="197" t="s">
        <v>111</v>
      </c>
      <c r="C72" s="197" t="s">
        <v>114</v>
      </c>
      <c r="D72" s="246" t="s">
        <v>990</v>
      </c>
      <c r="E72" s="243" t="s">
        <v>660</v>
      </c>
      <c r="F72" s="250">
        <v>6.15</v>
      </c>
      <c r="G72" s="251">
        <f>H72/1000</f>
        <v>18.82</v>
      </c>
      <c r="H72" s="242">
        <v>18820</v>
      </c>
      <c r="I72" s="246" t="s">
        <v>607</v>
      </c>
      <c r="J72" s="246" t="s">
        <v>270</v>
      </c>
      <c r="K72" s="242" t="s">
        <v>9</v>
      </c>
      <c r="L72" s="245"/>
      <c r="M72" s="197">
        <v>10.1</v>
      </c>
      <c r="N72" s="197">
        <v>10.1</v>
      </c>
      <c r="T72" s="197">
        <f>1.1*2.1*5</f>
        <v>11.550000000000002</v>
      </c>
      <c r="AA72" s="197">
        <f>N72*G72-T72</f>
        <v>178.53199999999998</v>
      </c>
    </row>
    <row r="73" spans="1:40" x14ac:dyDescent="0.2">
      <c r="A73" s="197">
        <v>82</v>
      </c>
      <c r="B73" s="197" t="s">
        <v>111</v>
      </c>
      <c r="C73" s="197" t="s">
        <v>114</v>
      </c>
      <c r="D73" s="246" t="s">
        <v>991</v>
      </c>
      <c r="E73" s="243" t="s">
        <v>644</v>
      </c>
      <c r="F73" s="250">
        <v>4.5</v>
      </c>
      <c r="G73" s="251">
        <f>H73/1000</f>
        <v>18.82</v>
      </c>
      <c r="H73" s="242">
        <v>18820</v>
      </c>
      <c r="I73" s="246" t="s">
        <v>607</v>
      </c>
      <c r="J73" s="246" t="s">
        <v>270</v>
      </c>
      <c r="K73" s="249" t="s">
        <v>9</v>
      </c>
      <c r="L73" s="243"/>
      <c r="M73" s="197">
        <v>8.5</v>
      </c>
      <c r="N73" s="197">
        <v>8.5</v>
      </c>
      <c r="T73" s="197">
        <f>1.1*2.1*5</f>
        <v>11.550000000000002</v>
      </c>
      <c r="AA73" s="197">
        <f>N73*G73-T73</f>
        <v>148.41999999999999</v>
      </c>
    </row>
    <row r="74" spans="1:40" x14ac:dyDescent="0.2">
      <c r="A74" s="239">
        <v>83</v>
      </c>
      <c r="B74" s="197" t="s">
        <v>111</v>
      </c>
      <c r="C74" s="197" t="s">
        <v>114</v>
      </c>
      <c r="D74" s="246" t="s">
        <v>724</v>
      </c>
      <c r="E74" s="243" t="s">
        <v>679</v>
      </c>
      <c r="F74" s="250">
        <v>51.1</v>
      </c>
      <c r="G74" s="250"/>
      <c r="H74" s="248">
        <v>2930</v>
      </c>
      <c r="I74" s="246" t="s">
        <v>603</v>
      </c>
      <c r="J74" s="246" t="s">
        <v>2</v>
      </c>
      <c r="K74" s="246" t="s">
        <v>677</v>
      </c>
      <c r="L74" s="243"/>
      <c r="M74" s="197">
        <f>47.1-2.45</f>
        <v>44.65</v>
      </c>
      <c r="N74" s="197">
        <f>2.5*2</f>
        <v>5</v>
      </c>
      <c r="O74" s="197">
        <f>M74-N74</f>
        <v>39.65</v>
      </c>
      <c r="T74" s="197">
        <f>1.1*2.1</f>
        <v>2.3100000000000005</v>
      </c>
      <c r="U74" s="197">
        <f>1.1*2.1*5+1.2*2.1+2*2.35+1.3*2.1</f>
        <v>21.500000000000004</v>
      </c>
      <c r="Z74" s="197">
        <f>N74*H74/1000-T74</f>
        <v>12.34</v>
      </c>
      <c r="AE74" s="197">
        <f>O74*H74/1000-U74</f>
        <v>94.674499999999995</v>
      </c>
    </row>
    <row r="75" spans="1:40" ht="30" x14ac:dyDescent="0.2">
      <c r="A75" s="239">
        <v>84</v>
      </c>
      <c r="B75" s="197" t="s">
        <v>111</v>
      </c>
      <c r="C75" s="197" t="s">
        <v>114</v>
      </c>
      <c r="D75" s="246" t="s">
        <v>725</v>
      </c>
      <c r="E75" s="243" t="s">
        <v>726</v>
      </c>
      <c r="F75" s="250">
        <v>10.1</v>
      </c>
      <c r="G75" s="250"/>
      <c r="H75" s="248">
        <v>2400</v>
      </c>
      <c r="I75" s="246" t="s">
        <v>603</v>
      </c>
      <c r="J75" s="246" t="s">
        <v>2</v>
      </c>
      <c r="K75" s="246" t="s">
        <v>677</v>
      </c>
      <c r="L75" s="243"/>
      <c r="M75" s="197">
        <v>12.7</v>
      </c>
      <c r="N75" s="197">
        <f>3+0.4</f>
        <v>3.4</v>
      </c>
      <c r="O75" s="197">
        <f>M75-N75</f>
        <v>9.2999999999999989</v>
      </c>
      <c r="U75" s="197">
        <f>1.2*2.1</f>
        <v>2.52</v>
      </c>
      <c r="Z75" s="197">
        <f>N75*H75/1000-T75</f>
        <v>8.16</v>
      </c>
      <c r="AE75" s="197">
        <f>O75*H75/1000-U75</f>
        <v>19.799999999999997</v>
      </c>
    </row>
    <row r="76" spans="1:40" ht="60" x14ac:dyDescent="0.2">
      <c r="A76" s="197">
        <v>85</v>
      </c>
      <c r="B76" s="197" t="s">
        <v>111</v>
      </c>
      <c r="C76" s="197" t="s">
        <v>114</v>
      </c>
      <c r="D76" s="246" t="s">
        <v>727</v>
      </c>
      <c r="E76" s="245" t="s">
        <v>728</v>
      </c>
      <c r="F76" s="250">
        <v>29.8</v>
      </c>
      <c r="G76" s="250"/>
      <c r="H76" s="248">
        <v>2930</v>
      </c>
      <c r="I76" s="246" t="s">
        <v>603</v>
      </c>
      <c r="J76" s="246" t="s">
        <v>2</v>
      </c>
      <c r="K76" s="246" t="s">
        <v>677</v>
      </c>
      <c r="L76" s="243"/>
      <c r="M76" s="197">
        <v>24.4</v>
      </c>
      <c r="N76" s="197">
        <f>M76-O76</f>
        <v>15.599999999999998</v>
      </c>
      <c r="O76" s="197">
        <f>8.8</f>
        <v>8.8000000000000007</v>
      </c>
      <c r="U76" s="197">
        <f>1.1*2.1</f>
        <v>2.3100000000000005</v>
      </c>
      <c r="Z76" s="197">
        <f>N76*H76/1000-T76</f>
        <v>45.707999999999991</v>
      </c>
      <c r="AE76" s="197">
        <f>O76*H76/1000-U76</f>
        <v>23.474000000000004</v>
      </c>
    </row>
    <row r="77" spans="1:40" ht="30" x14ac:dyDescent="0.2">
      <c r="A77" s="239">
        <v>86</v>
      </c>
      <c r="B77" s="197" t="s">
        <v>111</v>
      </c>
      <c r="C77" s="197" t="s">
        <v>114</v>
      </c>
      <c r="D77" s="246" t="s">
        <v>729</v>
      </c>
      <c r="E77" s="243" t="s">
        <v>730</v>
      </c>
      <c r="F77" s="254">
        <v>38.6</v>
      </c>
      <c r="G77" s="254"/>
      <c r="H77" s="248">
        <v>2930</v>
      </c>
      <c r="I77" s="246" t="s">
        <v>603</v>
      </c>
      <c r="J77" s="246" t="s">
        <v>2</v>
      </c>
      <c r="K77" s="246" t="s">
        <v>677</v>
      </c>
      <c r="L77" s="243"/>
      <c r="M77" s="197">
        <v>27.3</v>
      </c>
      <c r="N77" s="197">
        <f>M77/2</f>
        <v>13.65</v>
      </c>
      <c r="O77" s="197">
        <f>M77/2</f>
        <v>13.65</v>
      </c>
      <c r="U77" s="197">
        <f>1.3*2.1</f>
        <v>2.7300000000000004</v>
      </c>
      <c r="Z77" s="197">
        <f>N77*H77/1000-T77</f>
        <v>39.994500000000002</v>
      </c>
      <c r="AE77" s="197">
        <f>O77*H77/1000-U77</f>
        <v>37.264499999999998</v>
      </c>
    </row>
    <row r="78" spans="1:40" x14ac:dyDescent="0.2">
      <c r="A78" s="239">
        <v>87</v>
      </c>
      <c r="B78" s="197" t="s">
        <v>111</v>
      </c>
      <c r="C78" s="197" t="s">
        <v>114</v>
      </c>
      <c r="D78" s="246" t="s">
        <v>731</v>
      </c>
      <c r="E78" s="243" t="s">
        <v>732</v>
      </c>
      <c r="F78" s="250">
        <v>29.65</v>
      </c>
      <c r="G78" s="250"/>
      <c r="H78" s="248">
        <v>2930</v>
      </c>
      <c r="I78" s="246" t="s">
        <v>603</v>
      </c>
      <c r="J78" s="246" t="s">
        <v>2</v>
      </c>
      <c r="K78" s="246" t="s">
        <v>677</v>
      </c>
      <c r="L78" s="243"/>
      <c r="M78" s="197">
        <f>23.8+0.8*2+0.3*2</f>
        <v>26.000000000000004</v>
      </c>
      <c r="N78" s="197">
        <f>4.3+0.6*2+0.3*2+0.8*2</f>
        <v>7.6999999999999993</v>
      </c>
      <c r="O78" s="197">
        <f>M78-N78</f>
        <v>18.300000000000004</v>
      </c>
      <c r="U78" s="197">
        <f>1.1*2.1</f>
        <v>2.3100000000000005</v>
      </c>
      <c r="Z78" s="197">
        <f>N78*H78/1000-T78</f>
        <v>22.560999999999996</v>
      </c>
      <c r="AE78" s="197">
        <f>O78*H78/1000-U78</f>
        <v>51.309000000000012</v>
      </c>
    </row>
    <row r="79" spans="1:40" ht="30" x14ac:dyDescent="0.2">
      <c r="A79" s="197">
        <v>88</v>
      </c>
      <c r="B79" s="197" t="s">
        <v>111</v>
      </c>
      <c r="C79" s="197" t="s">
        <v>114</v>
      </c>
      <c r="D79" s="246" t="s">
        <v>733</v>
      </c>
      <c r="E79" s="243" t="s">
        <v>734</v>
      </c>
      <c r="F79" s="250">
        <v>18</v>
      </c>
      <c r="G79" s="251">
        <f>H79/1000</f>
        <v>2.4</v>
      </c>
      <c r="H79" s="248">
        <v>2400</v>
      </c>
      <c r="I79" s="246" t="s">
        <v>603</v>
      </c>
      <c r="J79" s="246" t="s">
        <v>17</v>
      </c>
      <c r="K79" s="249" t="s">
        <v>26</v>
      </c>
      <c r="L79" s="243"/>
      <c r="M79" s="197">
        <v>18.5</v>
      </c>
      <c r="N79" s="197">
        <f>M79</f>
        <v>18.5</v>
      </c>
      <c r="T79" s="197">
        <f>1.1*2.1</f>
        <v>2.3100000000000005</v>
      </c>
      <c r="AH79" s="197">
        <f>N79*G79-T79</f>
        <v>42.089999999999996</v>
      </c>
    </row>
    <row r="80" spans="1:40" x14ac:dyDescent="0.2">
      <c r="A80" s="239">
        <v>89</v>
      </c>
      <c r="B80" s="197" t="s">
        <v>111</v>
      </c>
      <c r="C80" s="197" t="s">
        <v>114</v>
      </c>
      <c r="D80" s="246" t="s">
        <v>735</v>
      </c>
      <c r="E80" s="243" t="s">
        <v>686</v>
      </c>
      <c r="F80" s="250">
        <v>18.7</v>
      </c>
      <c r="G80" s="250"/>
      <c r="H80" s="248">
        <v>2930</v>
      </c>
      <c r="I80" s="246" t="s">
        <v>603</v>
      </c>
      <c r="J80" s="246" t="s">
        <v>3</v>
      </c>
      <c r="K80" s="246" t="s">
        <v>677</v>
      </c>
      <c r="L80" s="243"/>
      <c r="M80" s="197">
        <v>21.8</v>
      </c>
      <c r="N80" s="197">
        <f>M80-O80</f>
        <v>15.51</v>
      </c>
      <c r="O80" s="197">
        <f>1.2+1.57+3.12+0.4</f>
        <v>6.2900000000000009</v>
      </c>
      <c r="U80" s="197">
        <f>1.1*2.1</f>
        <v>2.3100000000000005</v>
      </c>
      <c r="Z80" s="197">
        <f>N80*H80/1000-T80</f>
        <v>45.444300000000005</v>
      </c>
      <c r="AE80" s="197">
        <f>O80*H80/1000-U80</f>
        <v>16.119700000000002</v>
      </c>
    </row>
    <row r="81" spans="1:41" x14ac:dyDescent="0.2">
      <c r="A81" s="239">
        <v>90</v>
      </c>
      <c r="B81" s="197" t="s">
        <v>111</v>
      </c>
      <c r="C81" s="197" t="s">
        <v>114</v>
      </c>
      <c r="D81" s="246" t="s">
        <v>957</v>
      </c>
      <c r="E81" s="243" t="s">
        <v>941</v>
      </c>
      <c r="F81" s="250">
        <v>24.25</v>
      </c>
      <c r="G81" s="250"/>
      <c r="H81" s="248">
        <v>2400</v>
      </c>
      <c r="I81" s="246" t="s">
        <v>604</v>
      </c>
      <c r="J81" s="246" t="s">
        <v>6</v>
      </c>
      <c r="K81" s="246" t="s">
        <v>949</v>
      </c>
      <c r="L81" s="243"/>
      <c r="M81" s="197">
        <f>23.3</f>
        <v>23.3</v>
      </c>
      <c r="N81" s="197">
        <f>5.2+0.6</f>
        <v>5.8</v>
      </c>
      <c r="O81" s="197">
        <f>M81-P81-N81</f>
        <v>11.400000000000002</v>
      </c>
      <c r="P81" s="197">
        <f>2.6+3.5</f>
        <v>6.1</v>
      </c>
      <c r="U81" s="197">
        <f>0.95*2.1</f>
        <v>1.9949999999999999</v>
      </c>
      <c r="Z81" s="197">
        <f>N81*H81/1000-T81</f>
        <v>13.92</v>
      </c>
      <c r="AE81" s="197">
        <f>O81*H81/1000-U81</f>
        <v>25.365000000000002</v>
      </c>
      <c r="AK81" s="197">
        <f>P81*H81/1000-V81</f>
        <v>14.64</v>
      </c>
    </row>
    <row r="82" spans="1:41" x14ac:dyDescent="0.2">
      <c r="A82" s="197">
        <v>91</v>
      </c>
      <c r="B82" s="197" t="s">
        <v>111</v>
      </c>
      <c r="C82" s="197" t="s">
        <v>114</v>
      </c>
      <c r="D82" s="246" t="s">
        <v>958</v>
      </c>
      <c r="E82" s="243" t="s">
        <v>943</v>
      </c>
      <c r="F82" s="250">
        <v>5.75</v>
      </c>
      <c r="G82" s="251">
        <f>H82/1000</f>
        <v>2.4</v>
      </c>
      <c r="H82" s="248">
        <v>2400</v>
      </c>
      <c r="I82" s="246" t="s">
        <v>604</v>
      </c>
      <c r="J82" s="246" t="s">
        <v>10</v>
      </c>
      <c r="K82" s="246" t="s">
        <v>767</v>
      </c>
      <c r="L82" s="243"/>
      <c r="M82" s="197">
        <v>11.4</v>
      </c>
      <c r="N82" s="197">
        <f>2.2</f>
        <v>2.2000000000000002</v>
      </c>
      <c r="O82" s="197">
        <f>M82-N82</f>
        <v>9.1999999999999993</v>
      </c>
      <c r="AH82" s="197">
        <f>N82*G82-T82</f>
        <v>5.28</v>
      </c>
      <c r="AJ82" s="197">
        <f>O82*G82-U82</f>
        <v>22.08</v>
      </c>
    </row>
    <row r="83" spans="1:41" x14ac:dyDescent="0.2">
      <c r="A83" s="239">
        <v>92</v>
      </c>
      <c r="B83" s="197" t="s">
        <v>111</v>
      </c>
      <c r="C83" s="197" t="s">
        <v>114</v>
      </c>
      <c r="D83" s="246" t="s">
        <v>959</v>
      </c>
      <c r="E83" s="243" t="s">
        <v>945</v>
      </c>
      <c r="F83" s="250">
        <v>1.8</v>
      </c>
      <c r="G83" s="251">
        <f>H83/1000</f>
        <v>2.2999999999999998</v>
      </c>
      <c r="H83" s="248">
        <v>2300</v>
      </c>
      <c r="I83" s="246" t="s">
        <v>604</v>
      </c>
      <c r="J83" s="246" t="s">
        <v>10</v>
      </c>
      <c r="K83" s="246" t="s">
        <v>949</v>
      </c>
      <c r="L83" s="243"/>
      <c r="M83" s="197">
        <f>5.5/2</f>
        <v>2.75</v>
      </c>
      <c r="N83" s="197">
        <v>1.6</v>
      </c>
      <c r="O83" s="197">
        <f>M83-N83</f>
        <v>1.1499999999999999</v>
      </c>
      <c r="AH83" s="197">
        <f>N83*G83-T83</f>
        <v>3.6799999999999997</v>
      </c>
      <c r="AJ83" s="197">
        <f>O83*G83-U83</f>
        <v>2.6449999999999996</v>
      </c>
    </row>
    <row r="84" spans="1:41" x14ac:dyDescent="0.2">
      <c r="A84" s="239">
        <v>93</v>
      </c>
      <c r="B84" s="197" t="s">
        <v>111</v>
      </c>
      <c r="C84" s="197" t="s">
        <v>114</v>
      </c>
      <c r="D84" s="246" t="s">
        <v>960</v>
      </c>
      <c r="E84" s="243" t="s">
        <v>947</v>
      </c>
      <c r="F84" s="250">
        <v>2.2000000000000002</v>
      </c>
      <c r="G84" s="251">
        <f>H84/1000</f>
        <v>2.2999999999999998</v>
      </c>
      <c r="H84" s="248">
        <v>2300</v>
      </c>
      <c r="I84" s="246" t="s">
        <v>604</v>
      </c>
      <c r="J84" s="246" t="s">
        <v>12</v>
      </c>
      <c r="K84" s="246" t="s">
        <v>756</v>
      </c>
      <c r="L84" s="243"/>
      <c r="M84" s="197">
        <f>5.8-1.6</f>
        <v>4.1999999999999993</v>
      </c>
      <c r="N84" s="197">
        <f>M84</f>
        <v>4.1999999999999993</v>
      </c>
      <c r="AJ84" s="197">
        <f>N84*G84-T84</f>
        <v>9.6599999999999984</v>
      </c>
    </row>
    <row r="85" spans="1:41" x14ac:dyDescent="0.2">
      <c r="A85" s="197">
        <v>94</v>
      </c>
      <c r="B85" s="197" t="s">
        <v>111</v>
      </c>
      <c r="C85" s="197" t="s">
        <v>114</v>
      </c>
      <c r="D85" s="246" t="s">
        <v>961</v>
      </c>
      <c r="E85" s="243" t="s">
        <v>933</v>
      </c>
      <c r="F85" s="250">
        <v>23.4</v>
      </c>
      <c r="G85" s="250"/>
      <c r="H85" s="248">
        <v>2400</v>
      </c>
      <c r="I85" s="246" t="s">
        <v>604</v>
      </c>
      <c r="J85" s="246" t="s">
        <v>6</v>
      </c>
      <c r="K85" s="246" t="s">
        <v>962</v>
      </c>
      <c r="L85" s="243"/>
      <c r="M85" s="197">
        <f>23-0.9</f>
        <v>22.1</v>
      </c>
      <c r="N85" s="197">
        <f>4.8+2.5</f>
        <v>7.3</v>
      </c>
      <c r="O85" s="197">
        <f>M85-P85-N85</f>
        <v>9</v>
      </c>
      <c r="P85" s="197">
        <f>2.2+4.5-0.9</f>
        <v>5.8</v>
      </c>
      <c r="T85" s="197">
        <f>0.95*2.1</f>
        <v>1.9949999999999999</v>
      </c>
      <c r="Z85" s="197">
        <f>N85*H85/1000-T85</f>
        <v>15.525</v>
      </c>
      <c r="AE85" s="197">
        <f>O85*H85/1000-U85</f>
        <v>21.6</v>
      </c>
      <c r="AK85" s="197">
        <f>P85*H85/1000-V85</f>
        <v>13.92</v>
      </c>
    </row>
    <row r="86" spans="1:41" x14ac:dyDescent="0.2">
      <c r="A86" s="239">
        <v>95</v>
      </c>
      <c r="B86" s="197" t="s">
        <v>111</v>
      </c>
      <c r="C86" s="197" t="s">
        <v>114</v>
      </c>
      <c r="D86" s="246" t="s">
        <v>963</v>
      </c>
      <c r="E86" s="243" t="s">
        <v>935</v>
      </c>
      <c r="F86" s="250">
        <v>5.4</v>
      </c>
      <c r="G86" s="251">
        <f>H86/1000</f>
        <v>2.4</v>
      </c>
      <c r="H86" s="248">
        <v>2400</v>
      </c>
      <c r="I86" s="246" t="s">
        <v>604</v>
      </c>
      <c r="J86" s="246" t="s">
        <v>10</v>
      </c>
      <c r="K86" s="246" t="s">
        <v>767</v>
      </c>
      <c r="L86" s="243"/>
      <c r="M86" s="197">
        <f>12.4-0.9</f>
        <v>11.5</v>
      </c>
      <c r="N86" s="197">
        <f>2.1+0.6+1+0.93</f>
        <v>4.63</v>
      </c>
      <c r="O86" s="197">
        <f>M86-N86</f>
        <v>6.87</v>
      </c>
      <c r="AH86" s="197">
        <f>N86*G86-T86</f>
        <v>11.112</v>
      </c>
      <c r="AJ86" s="197">
        <f>O86*G86-U86</f>
        <v>16.488</v>
      </c>
    </row>
    <row r="87" spans="1:41" x14ac:dyDescent="0.2">
      <c r="A87" s="239">
        <v>96</v>
      </c>
      <c r="B87" s="197" t="s">
        <v>111</v>
      </c>
      <c r="C87" s="197" t="s">
        <v>114</v>
      </c>
      <c r="D87" s="246" t="s">
        <v>964</v>
      </c>
      <c r="E87" s="243" t="s">
        <v>937</v>
      </c>
      <c r="F87" s="250">
        <v>1.9</v>
      </c>
      <c r="G87" s="251">
        <f>H87/1000</f>
        <v>2.4</v>
      </c>
      <c r="H87" s="248">
        <v>2400</v>
      </c>
      <c r="I87" s="246" t="s">
        <v>604</v>
      </c>
      <c r="J87" s="246" t="s">
        <v>10</v>
      </c>
      <c r="K87" s="246" t="s">
        <v>949</v>
      </c>
      <c r="L87" s="243"/>
      <c r="M87" s="197">
        <f>5.5-1.6</f>
        <v>3.9</v>
      </c>
      <c r="N87" s="197">
        <f>1.6</f>
        <v>1.6</v>
      </c>
      <c r="O87" s="197">
        <f>M87-N87</f>
        <v>2.2999999999999998</v>
      </c>
      <c r="U87" s="197">
        <f>1.15*2.1</f>
        <v>2.415</v>
      </c>
      <c r="AH87" s="197">
        <f>N87*G87-T87</f>
        <v>3.84</v>
      </c>
      <c r="AJ87" s="197">
        <f>O87*G87-U87</f>
        <v>3.1049999999999995</v>
      </c>
    </row>
    <row r="88" spans="1:41" x14ac:dyDescent="0.2">
      <c r="A88" s="197">
        <v>97</v>
      </c>
      <c r="B88" s="197" t="s">
        <v>111</v>
      </c>
      <c r="C88" s="197" t="s">
        <v>114</v>
      </c>
      <c r="D88" s="246" t="s">
        <v>965</v>
      </c>
      <c r="E88" s="243" t="s">
        <v>939</v>
      </c>
      <c r="F88" s="250">
        <v>1.5</v>
      </c>
      <c r="G88" s="251">
        <f>H88/1000</f>
        <v>2.4</v>
      </c>
      <c r="H88" s="248">
        <v>2400</v>
      </c>
      <c r="I88" s="246" t="s">
        <v>604</v>
      </c>
      <c r="J88" s="246" t="s">
        <v>12</v>
      </c>
      <c r="K88" s="246" t="s">
        <v>756</v>
      </c>
      <c r="L88" s="243"/>
      <c r="M88" s="197">
        <f>4.9-1.6</f>
        <v>3.3000000000000003</v>
      </c>
      <c r="N88" s="197">
        <f>M88</f>
        <v>3.3000000000000003</v>
      </c>
      <c r="AJ88" s="197">
        <f>N88*G88-T88</f>
        <v>7.92</v>
      </c>
    </row>
    <row r="89" spans="1:41" x14ac:dyDescent="0.2">
      <c r="A89" s="239">
        <v>98</v>
      </c>
      <c r="B89" s="197" t="s">
        <v>111</v>
      </c>
      <c r="C89" s="197" t="s">
        <v>114</v>
      </c>
      <c r="D89" s="246" t="s">
        <v>966</v>
      </c>
      <c r="E89" s="243" t="s">
        <v>967</v>
      </c>
      <c r="F89" s="250">
        <v>9.4499999999999993</v>
      </c>
      <c r="G89" s="250"/>
      <c r="H89" s="248">
        <v>2400</v>
      </c>
      <c r="I89" s="246" t="s">
        <v>604</v>
      </c>
      <c r="J89" s="246" t="s">
        <v>273</v>
      </c>
      <c r="K89" s="246" t="s">
        <v>949</v>
      </c>
      <c r="L89" s="243"/>
      <c r="M89" s="197">
        <f>13.3-2.4</f>
        <v>10.9</v>
      </c>
      <c r="N89" s="197">
        <f>2.6+2.2</f>
        <v>4.8000000000000007</v>
      </c>
      <c r="O89" s="197">
        <f>1.2+2.6</f>
        <v>3.8</v>
      </c>
      <c r="P89" s="197">
        <f>0.6+0.4</f>
        <v>1</v>
      </c>
      <c r="Q89" s="197">
        <f>1+0.25</f>
        <v>1.25</v>
      </c>
      <c r="U89" s="197">
        <f>1.1*2.1</f>
        <v>2.3100000000000005</v>
      </c>
      <c r="Z89" s="197">
        <f>N89*H89/1000-T89</f>
        <v>11.520000000000001</v>
      </c>
      <c r="AE89" s="197">
        <f>O89*H89/1000-U89</f>
        <v>6.8099999999999987</v>
      </c>
      <c r="AH89" s="197">
        <f>P89*H89/1000-V89</f>
        <v>2.4</v>
      </c>
      <c r="AJ89" s="197">
        <f>Q89*H89/1000-W89</f>
        <v>3</v>
      </c>
    </row>
    <row r="90" spans="1:41" x14ac:dyDescent="0.2">
      <c r="A90" s="239">
        <v>99</v>
      </c>
      <c r="B90" s="197" t="s">
        <v>111</v>
      </c>
      <c r="C90" s="197" t="s">
        <v>114</v>
      </c>
      <c r="D90" s="246" t="s">
        <v>968</v>
      </c>
      <c r="E90" s="243" t="s">
        <v>969</v>
      </c>
      <c r="F90" s="250">
        <v>2.5</v>
      </c>
      <c r="G90" s="251">
        <f>H90/1000</f>
        <v>2.4</v>
      </c>
      <c r="H90" s="248">
        <v>2400</v>
      </c>
      <c r="I90" s="246" t="s">
        <v>604</v>
      </c>
      <c r="J90" s="246" t="s">
        <v>10</v>
      </c>
      <c r="K90" s="246" t="s">
        <v>767</v>
      </c>
      <c r="L90" s="243"/>
      <c r="M90" s="197">
        <f>6.4-1.9</f>
        <v>4.5</v>
      </c>
      <c r="N90" s="197">
        <f>M90-O90</f>
        <v>3.5</v>
      </c>
      <c r="O90" s="197">
        <f>1</f>
        <v>1</v>
      </c>
      <c r="AH90" s="197">
        <f>N90*G90-T90</f>
        <v>8.4</v>
      </c>
      <c r="AJ90" s="197">
        <f>O90*G90-U90</f>
        <v>2.4</v>
      </c>
    </row>
    <row r="91" spans="1:41" x14ac:dyDescent="0.2">
      <c r="A91" s="197">
        <v>100</v>
      </c>
      <c r="B91" s="197" t="s">
        <v>111</v>
      </c>
      <c r="C91" s="197" t="s">
        <v>114</v>
      </c>
      <c r="D91" s="246" t="s">
        <v>970</v>
      </c>
      <c r="E91" s="243" t="s">
        <v>971</v>
      </c>
      <c r="F91" s="250">
        <v>5.0999999999999996</v>
      </c>
      <c r="G91" s="251">
        <f>H91/1000</f>
        <v>2.4</v>
      </c>
      <c r="H91" s="248">
        <v>2400</v>
      </c>
      <c r="I91" s="246" t="s">
        <v>604</v>
      </c>
      <c r="J91" s="246" t="s">
        <v>10</v>
      </c>
      <c r="K91" s="246" t="s">
        <v>949</v>
      </c>
      <c r="L91" s="243"/>
      <c r="M91" s="197">
        <f>9.2-1.9-1.925</f>
        <v>5.3749999999999991</v>
      </c>
      <c r="N91" s="197">
        <f>M91-O91</f>
        <v>3.1749999999999989</v>
      </c>
      <c r="O91" s="197">
        <f>1.95+0.25</f>
        <v>2.2000000000000002</v>
      </c>
      <c r="AH91" s="197">
        <f>N91*G91-T91</f>
        <v>7.6199999999999974</v>
      </c>
      <c r="AJ91" s="197">
        <f>O91*G91-U91</f>
        <v>5.28</v>
      </c>
    </row>
    <row r="92" spans="1:41" ht="30" x14ac:dyDescent="0.2">
      <c r="A92" s="239">
        <v>101</v>
      </c>
      <c r="B92" s="197" t="s">
        <v>111</v>
      </c>
      <c r="C92" s="197" t="s">
        <v>114</v>
      </c>
      <c r="D92" s="246" t="s">
        <v>1000</v>
      </c>
      <c r="E92" s="243" t="s">
        <v>1001</v>
      </c>
      <c r="F92" s="250">
        <v>5.0999999999999996</v>
      </c>
      <c r="G92" s="251">
        <f>H92/1000</f>
        <v>6.2649999999999997</v>
      </c>
      <c r="H92" s="242">
        <v>6265</v>
      </c>
      <c r="I92" s="246" t="s">
        <v>608</v>
      </c>
      <c r="J92" s="242" t="s">
        <v>8</v>
      </c>
      <c r="K92" s="246" t="s">
        <v>1002</v>
      </c>
      <c r="L92" s="243"/>
      <c r="M92" s="197">
        <v>9.8000000000000007</v>
      </c>
      <c r="N92" s="197">
        <v>9.8000000000000007</v>
      </c>
      <c r="AD92" s="197">
        <f>N92*G92-T92</f>
        <v>61.396999999999998</v>
      </c>
    </row>
    <row r="93" spans="1:41" x14ac:dyDescent="0.2">
      <c r="A93" s="239">
        <v>107</v>
      </c>
      <c r="B93" s="197" t="s">
        <v>116</v>
      </c>
      <c r="C93" s="197" t="s">
        <v>112</v>
      </c>
      <c r="D93" s="245"/>
      <c r="E93" s="243" t="s">
        <v>1275</v>
      </c>
      <c r="F93" s="244"/>
      <c r="G93" s="244"/>
      <c r="H93" s="242"/>
      <c r="I93" s="242"/>
      <c r="J93" s="245"/>
      <c r="K93" s="242"/>
      <c r="L93" s="242"/>
    </row>
    <row r="94" spans="1:41" x14ac:dyDescent="0.2">
      <c r="A94" s="239">
        <v>108</v>
      </c>
      <c r="B94" s="197" t="s">
        <v>116</v>
      </c>
      <c r="C94" s="197" t="s">
        <v>112</v>
      </c>
      <c r="D94" s="245"/>
      <c r="E94" s="243" t="s">
        <v>1276</v>
      </c>
      <c r="F94" s="244"/>
      <c r="G94" s="244"/>
      <c r="H94" s="242"/>
      <c r="I94" s="242"/>
      <c r="J94" s="245"/>
      <c r="K94" s="242"/>
      <c r="L94" s="242"/>
    </row>
    <row r="95" spans="1:41" x14ac:dyDescent="0.2">
      <c r="A95" s="197">
        <v>109</v>
      </c>
      <c r="B95" s="197" t="s">
        <v>116</v>
      </c>
      <c r="C95" s="197" t="s">
        <v>112</v>
      </c>
      <c r="D95" s="243" t="s">
        <v>1015</v>
      </c>
      <c r="E95" s="243" t="s">
        <v>1016</v>
      </c>
      <c r="F95" s="255">
        <v>57.35</v>
      </c>
      <c r="G95" s="251">
        <f>H95/1000</f>
        <v>3</v>
      </c>
      <c r="H95" s="256">
        <v>3000</v>
      </c>
      <c r="I95" s="246" t="s">
        <v>605</v>
      </c>
      <c r="J95" s="246" t="s">
        <v>28</v>
      </c>
      <c r="K95" s="246" t="s">
        <v>1017</v>
      </c>
      <c r="L95" s="246"/>
      <c r="M95" s="197">
        <f>38.1+10.2-4-4.7</f>
        <v>39.599999999999994</v>
      </c>
      <c r="N95" s="197">
        <f>M95-O95-P95</f>
        <v>35.324999999999996</v>
      </c>
      <c r="O95" s="197">
        <v>1.9</v>
      </c>
      <c r="P95" s="197">
        <f>2.25+0.125</f>
        <v>2.375</v>
      </c>
      <c r="T95" s="197">
        <f>2.85*2.4+1.1*2.1+1.4*2.5</f>
        <v>12.65</v>
      </c>
      <c r="AM95" s="197">
        <f>N95*G95-T95</f>
        <v>93.324999999999989</v>
      </c>
      <c r="AN95" s="197">
        <f>O95*G95-U95</f>
        <v>5.6999999999999993</v>
      </c>
      <c r="AO95" s="197">
        <f>P95*G95-V95</f>
        <v>7.125</v>
      </c>
    </row>
    <row r="96" spans="1:41" x14ac:dyDescent="0.2">
      <c r="A96" s="239">
        <v>110</v>
      </c>
      <c r="B96" s="197" t="s">
        <v>116</v>
      </c>
      <c r="C96" s="197" t="s">
        <v>112</v>
      </c>
      <c r="D96" s="243" t="s">
        <v>618</v>
      </c>
      <c r="E96" s="243" t="s">
        <v>619</v>
      </c>
      <c r="F96" s="255">
        <v>6.15</v>
      </c>
      <c r="G96" s="251" t="e">
        <f>H96/1000</f>
        <v>#VALUE!</v>
      </c>
      <c r="H96" s="242" t="s">
        <v>9</v>
      </c>
      <c r="I96" s="242" t="s">
        <v>9</v>
      </c>
      <c r="J96" s="246" t="s">
        <v>8</v>
      </c>
      <c r="K96" s="242"/>
      <c r="L96" s="242"/>
    </row>
    <row r="97" spans="1:50" x14ac:dyDescent="0.2">
      <c r="A97" s="239">
        <v>111</v>
      </c>
      <c r="B97" s="197" t="s">
        <v>116</v>
      </c>
      <c r="C97" s="197" t="s">
        <v>112</v>
      </c>
      <c r="D97" s="243" t="s">
        <v>620</v>
      </c>
      <c r="E97" s="243" t="s">
        <v>621</v>
      </c>
      <c r="F97" s="255">
        <v>4.5</v>
      </c>
      <c r="G97" s="251" t="e">
        <f>H97/1000</f>
        <v>#VALUE!</v>
      </c>
      <c r="H97" s="242" t="s">
        <v>9</v>
      </c>
      <c r="I97" s="242" t="s">
        <v>9</v>
      </c>
      <c r="J97" s="246" t="s">
        <v>8</v>
      </c>
      <c r="K97" s="242"/>
      <c r="L97" s="242"/>
    </row>
    <row r="98" spans="1:50" x14ac:dyDescent="0.2">
      <c r="A98" s="197">
        <v>112</v>
      </c>
      <c r="B98" s="197" t="s">
        <v>116</v>
      </c>
      <c r="C98" s="197" t="s">
        <v>112</v>
      </c>
      <c r="D98" s="243" t="s">
        <v>1165</v>
      </c>
      <c r="E98" s="243" t="s">
        <v>1166</v>
      </c>
      <c r="F98" s="255">
        <v>15.9</v>
      </c>
      <c r="G98" s="251">
        <f>H98/1000</f>
        <v>3</v>
      </c>
      <c r="H98" s="256">
        <v>3000</v>
      </c>
      <c r="I98" s="257" t="s">
        <v>29</v>
      </c>
      <c r="J98" s="246" t="s">
        <v>30</v>
      </c>
      <c r="K98" s="246" t="s">
        <v>1017</v>
      </c>
      <c r="L98" s="246"/>
      <c r="M98" s="197">
        <f>4.45*2</f>
        <v>8.9</v>
      </c>
      <c r="N98" s="197">
        <f>M98</f>
        <v>8.9</v>
      </c>
      <c r="AU98" s="197">
        <f>N98*G98-T98</f>
        <v>26.700000000000003</v>
      </c>
    </row>
    <row r="99" spans="1:50" ht="60" x14ac:dyDescent="0.2">
      <c r="A99" s="239">
        <v>113</v>
      </c>
      <c r="B99" s="197" t="s">
        <v>116</v>
      </c>
      <c r="C99" s="197" t="s">
        <v>112</v>
      </c>
      <c r="D99" s="258" t="s">
        <v>276</v>
      </c>
      <c r="E99" s="243" t="s">
        <v>1325</v>
      </c>
      <c r="F99" s="255">
        <v>154.35</v>
      </c>
      <c r="G99" s="255"/>
      <c r="H99" s="256">
        <v>3000</v>
      </c>
      <c r="I99" s="246" t="s">
        <v>1326</v>
      </c>
      <c r="J99" s="246" t="s">
        <v>31</v>
      </c>
      <c r="K99" s="257" t="s">
        <v>32</v>
      </c>
      <c r="L99" s="246" t="s">
        <v>33</v>
      </c>
      <c r="M99" s="197">
        <f>84.3-3.4+24.4+23.4+1.26*5</f>
        <v>135</v>
      </c>
      <c r="N99" s="197">
        <v>0.85</v>
      </c>
      <c r="O99" s="197">
        <f>1.7*2+0.9+2.45+3.15+1.9+2.4+2.4+1.26*5</f>
        <v>22.900000000000002</v>
      </c>
      <c r="P99" s="197">
        <f>M99-N99-O99</f>
        <v>111.25</v>
      </c>
      <c r="U99" s="197">
        <f>1.1*2.1</f>
        <v>2.3100000000000005</v>
      </c>
      <c r="V99" s="197">
        <f>(80.9-11.8-0.85+1.85+4.5+3.2+3.15)*2.4+1.1*2.1</f>
        <v>196.59000000000003</v>
      </c>
      <c r="AL99" s="197">
        <f>N99*H99/1000-T99</f>
        <v>2.5499999999999998</v>
      </c>
      <c r="AM99" s="197">
        <f>O99*H99/1000-U99</f>
        <v>66.39</v>
      </c>
      <c r="AP99" s="197">
        <f>P99*H99/1000-V99</f>
        <v>137.15999999999997</v>
      </c>
    </row>
    <row r="100" spans="1:50" ht="45" x14ac:dyDescent="0.2">
      <c r="A100" s="239">
        <v>114</v>
      </c>
      <c r="B100" s="197" t="s">
        <v>116</v>
      </c>
      <c r="C100" s="197" t="s">
        <v>112</v>
      </c>
      <c r="D100" s="258" t="s">
        <v>274</v>
      </c>
      <c r="E100" s="243" t="s">
        <v>1019</v>
      </c>
      <c r="F100" s="255">
        <v>13.05</v>
      </c>
      <c r="G100" s="251">
        <f t="shared" ref="G100:G124" si="4">H100/1000</f>
        <v>2.61</v>
      </c>
      <c r="H100" s="256">
        <v>2610</v>
      </c>
      <c r="I100" s="246" t="s">
        <v>605</v>
      </c>
      <c r="J100" s="246" t="s">
        <v>34</v>
      </c>
      <c r="K100" s="246"/>
      <c r="L100" s="246" t="s">
        <v>35</v>
      </c>
    </row>
    <row r="101" spans="1:50" ht="60" x14ac:dyDescent="0.2">
      <c r="A101" s="197">
        <v>115</v>
      </c>
      <c r="B101" s="197" t="s">
        <v>116</v>
      </c>
      <c r="C101" s="197" t="s">
        <v>112</v>
      </c>
      <c r="D101" s="258" t="s">
        <v>275</v>
      </c>
      <c r="E101" s="243" t="s">
        <v>1019</v>
      </c>
      <c r="F101" s="255">
        <v>46.9</v>
      </c>
      <c r="G101" s="251">
        <f t="shared" si="4"/>
        <v>3</v>
      </c>
      <c r="H101" s="256">
        <v>3000</v>
      </c>
      <c r="I101" s="246" t="s">
        <v>605</v>
      </c>
      <c r="J101" s="246" t="s">
        <v>36</v>
      </c>
      <c r="K101" s="246" t="s">
        <v>1017</v>
      </c>
      <c r="L101" s="246" t="s">
        <v>33</v>
      </c>
    </row>
    <row r="102" spans="1:50" x14ac:dyDescent="0.2">
      <c r="A102" s="239">
        <v>116</v>
      </c>
      <c r="B102" s="197" t="s">
        <v>116</v>
      </c>
      <c r="C102" s="197" t="s">
        <v>112</v>
      </c>
      <c r="D102" s="243" t="s">
        <v>736</v>
      </c>
      <c r="E102" s="243" t="s">
        <v>737</v>
      </c>
      <c r="F102" s="255">
        <v>41</v>
      </c>
      <c r="G102" s="251">
        <f t="shared" si="4"/>
        <v>3</v>
      </c>
      <c r="H102" s="256">
        <v>3000</v>
      </c>
      <c r="I102" s="246" t="s">
        <v>645</v>
      </c>
      <c r="J102" s="246" t="s">
        <v>277</v>
      </c>
      <c r="K102" s="246" t="s">
        <v>738</v>
      </c>
      <c r="L102" s="246"/>
      <c r="M102" s="197">
        <f>26.3</f>
        <v>26.3</v>
      </c>
      <c r="N102" s="197">
        <v>6.7</v>
      </c>
      <c r="O102" s="197">
        <f>M102-6.7</f>
        <v>19.600000000000001</v>
      </c>
      <c r="P102" s="197">
        <v>2.35</v>
      </c>
      <c r="Q102" s="197">
        <v>4.4000000000000004</v>
      </c>
      <c r="T102" s="197">
        <f>6.7*2.03</f>
        <v>13.600999999999999</v>
      </c>
      <c r="U102" s="197">
        <f>3.725*2.4</f>
        <v>8.94</v>
      </c>
      <c r="AM102" s="197">
        <f t="shared" ref="AM102:AM111" si="5">N102*G102-T102</f>
        <v>6.4990000000000023</v>
      </c>
      <c r="AP102" s="197">
        <f t="shared" ref="AP102:AP111" si="6">O102*G102-U102</f>
        <v>49.860000000000007</v>
      </c>
      <c r="AS102" s="197">
        <f>P102*G102-V102</f>
        <v>7.0500000000000007</v>
      </c>
      <c r="AT102" s="197">
        <f>Q102*G102-W102</f>
        <v>13.200000000000001</v>
      </c>
    </row>
    <row r="103" spans="1:50" ht="30" x14ac:dyDescent="0.2">
      <c r="A103" s="239">
        <v>117</v>
      </c>
      <c r="B103" s="197" t="s">
        <v>116</v>
      </c>
      <c r="C103" s="197" t="s">
        <v>112</v>
      </c>
      <c r="D103" s="243" t="s">
        <v>1179</v>
      </c>
      <c r="E103" s="243" t="s">
        <v>1180</v>
      </c>
      <c r="F103" s="255">
        <v>23.1</v>
      </c>
      <c r="G103" s="251">
        <f t="shared" si="4"/>
        <v>3</v>
      </c>
      <c r="H103" s="256">
        <v>3000</v>
      </c>
      <c r="I103" s="246" t="s">
        <v>639</v>
      </c>
      <c r="J103" s="246" t="s">
        <v>38</v>
      </c>
      <c r="K103" s="246" t="s">
        <v>1181</v>
      </c>
      <c r="L103" s="246"/>
      <c r="M103" s="197">
        <v>21.15</v>
      </c>
      <c r="N103" s="197">
        <v>3.35</v>
      </c>
      <c r="O103" s="197">
        <f>7.2*2-2.55+3.35</f>
        <v>15.200000000000001</v>
      </c>
      <c r="P103" s="197">
        <v>2.7</v>
      </c>
      <c r="Q103" s="197">
        <v>4.5</v>
      </c>
      <c r="R103" s="197">
        <v>2.5499999999999998</v>
      </c>
      <c r="T103" s="197">
        <f>3.35*2.4</f>
        <v>8.0399999999999991</v>
      </c>
      <c r="U103" s="197">
        <f>3.35*2.4</f>
        <v>8.0399999999999991</v>
      </c>
      <c r="AM103" s="197">
        <f t="shared" si="5"/>
        <v>2.0100000000000016</v>
      </c>
      <c r="AP103" s="197">
        <f t="shared" si="6"/>
        <v>37.56</v>
      </c>
      <c r="AS103" s="197">
        <f>P103*G103-V103</f>
        <v>8.1000000000000014</v>
      </c>
      <c r="AT103" s="197">
        <f>Q103*G103-W103</f>
        <v>13.5</v>
      </c>
      <c r="AX103" s="197">
        <f>R103*G103-X103</f>
        <v>7.6499999999999995</v>
      </c>
    </row>
    <row r="104" spans="1:50" x14ac:dyDescent="0.2">
      <c r="A104" s="197">
        <v>118</v>
      </c>
      <c r="B104" s="197" t="s">
        <v>116</v>
      </c>
      <c r="C104" s="197" t="s">
        <v>112</v>
      </c>
      <c r="D104" s="243" t="s">
        <v>739</v>
      </c>
      <c r="E104" s="243" t="s">
        <v>737</v>
      </c>
      <c r="F104" s="255">
        <v>46.25</v>
      </c>
      <c r="G104" s="251">
        <f t="shared" si="4"/>
        <v>3</v>
      </c>
      <c r="H104" s="256">
        <v>3000</v>
      </c>
      <c r="I104" s="246" t="s">
        <v>645</v>
      </c>
      <c r="J104" s="246" t="s">
        <v>40</v>
      </c>
      <c r="K104" s="246" t="s">
        <v>738</v>
      </c>
      <c r="L104" s="246"/>
      <c r="M104" s="197">
        <v>27.8</v>
      </c>
      <c r="N104" s="197">
        <v>6.65</v>
      </c>
      <c r="O104" s="197">
        <f>7.05*2+6.7</f>
        <v>20.8</v>
      </c>
      <c r="P104" s="197">
        <f>7.05</f>
        <v>7.05</v>
      </c>
      <c r="T104" s="197">
        <f>6.65*2.4</f>
        <v>15.96</v>
      </c>
      <c r="U104" s="197">
        <f>6.7*2.4</f>
        <v>16.079999999999998</v>
      </c>
      <c r="AM104" s="197">
        <f t="shared" si="5"/>
        <v>3.990000000000002</v>
      </c>
      <c r="AP104" s="197">
        <f t="shared" si="6"/>
        <v>46.320000000000007</v>
      </c>
      <c r="AT104" s="197">
        <f>P104*G104-V104</f>
        <v>21.15</v>
      </c>
    </row>
    <row r="105" spans="1:50" ht="30" x14ac:dyDescent="0.2">
      <c r="A105" s="239">
        <v>119</v>
      </c>
      <c r="B105" s="197" t="s">
        <v>116</v>
      </c>
      <c r="C105" s="197" t="s">
        <v>112</v>
      </c>
      <c r="D105" s="258" t="s">
        <v>278</v>
      </c>
      <c r="E105" s="243" t="s">
        <v>741</v>
      </c>
      <c r="F105" s="255">
        <v>24.95</v>
      </c>
      <c r="G105" s="251">
        <f t="shared" si="4"/>
        <v>3</v>
      </c>
      <c r="H105" s="256">
        <v>3000</v>
      </c>
      <c r="I105" s="246" t="s">
        <v>645</v>
      </c>
      <c r="J105" s="246" t="s">
        <v>40</v>
      </c>
      <c r="K105" s="246" t="s">
        <v>738</v>
      </c>
      <c r="L105" s="246"/>
      <c r="M105" s="197">
        <f>27.6+7.5</f>
        <v>35.1</v>
      </c>
      <c r="N105" s="197">
        <v>6.65</v>
      </c>
      <c r="O105" s="197">
        <f>M105-6.65</f>
        <v>28.450000000000003</v>
      </c>
      <c r="P105" s="197">
        <f>7.5</f>
        <v>7.5</v>
      </c>
      <c r="T105" s="197">
        <f>6.65*2.4</f>
        <v>15.96</v>
      </c>
      <c r="U105" s="197">
        <f>6.65*2.4</f>
        <v>15.96</v>
      </c>
      <c r="AM105" s="197">
        <f t="shared" si="5"/>
        <v>3.990000000000002</v>
      </c>
      <c r="AP105" s="197">
        <f t="shared" si="6"/>
        <v>69.390000000000015</v>
      </c>
      <c r="AT105" s="197">
        <f>P105*G105-V105</f>
        <v>22.5</v>
      </c>
    </row>
    <row r="106" spans="1:50" x14ac:dyDescent="0.2">
      <c r="A106" s="239">
        <v>120</v>
      </c>
      <c r="B106" s="197" t="s">
        <v>116</v>
      </c>
      <c r="C106" s="197" t="s">
        <v>112</v>
      </c>
      <c r="D106" s="258" t="s">
        <v>279</v>
      </c>
      <c r="E106" s="243" t="s">
        <v>743</v>
      </c>
      <c r="F106" s="255">
        <v>20.149999999999999</v>
      </c>
      <c r="G106" s="251">
        <f t="shared" si="4"/>
        <v>3</v>
      </c>
      <c r="H106" s="256">
        <v>3000</v>
      </c>
      <c r="I106" s="246" t="s">
        <v>645</v>
      </c>
      <c r="J106" s="246" t="s">
        <v>40</v>
      </c>
      <c r="K106" s="246" t="s">
        <v>738</v>
      </c>
      <c r="L106" s="246"/>
      <c r="AM106" s="197">
        <f t="shared" si="5"/>
        <v>0</v>
      </c>
      <c r="AP106" s="197">
        <f t="shared" si="6"/>
        <v>0</v>
      </c>
      <c r="AT106" s="197">
        <f>P106*G106-V106</f>
        <v>0</v>
      </c>
    </row>
    <row r="107" spans="1:50" x14ac:dyDescent="0.2">
      <c r="A107" s="197">
        <v>121</v>
      </c>
      <c r="B107" s="197" t="s">
        <v>116</v>
      </c>
      <c r="C107" s="197" t="s">
        <v>112</v>
      </c>
      <c r="D107" s="243" t="s">
        <v>1175</v>
      </c>
      <c r="E107" s="243" t="s">
        <v>1176</v>
      </c>
      <c r="F107" s="255">
        <v>74.099999999999994</v>
      </c>
      <c r="G107" s="251">
        <f t="shared" si="4"/>
        <v>3</v>
      </c>
      <c r="H107" s="256">
        <v>3000</v>
      </c>
      <c r="I107" s="246" t="s">
        <v>1304</v>
      </c>
      <c r="J107" s="246" t="s">
        <v>40</v>
      </c>
      <c r="K107" s="246" t="s">
        <v>738</v>
      </c>
      <c r="L107" s="246"/>
      <c r="M107" s="197">
        <v>37.799999999999997</v>
      </c>
      <c r="N107" s="197">
        <f>6.7+5.15</f>
        <v>11.850000000000001</v>
      </c>
      <c r="O107" s="197">
        <f>M107-N107</f>
        <v>25.949999999999996</v>
      </c>
      <c r="P107" s="197">
        <f>5</f>
        <v>5</v>
      </c>
      <c r="T107" s="197">
        <f>6.7*2.4+5.15*1.63</f>
        <v>24.474499999999999</v>
      </c>
      <c r="U107" s="197">
        <f>5*3</f>
        <v>15</v>
      </c>
      <c r="AM107" s="197">
        <f t="shared" si="5"/>
        <v>11.075500000000005</v>
      </c>
      <c r="AP107" s="197">
        <f t="shared" si="6"/>
        <v>62.849999999999994</v>
      </c>
      <c r="AT107" s="197">
        <f>P107*G107-V107</f>
        <v>15</v>
      </c>
    </row>
    <row r="108" spans="1:50" ht="30" x14ac:dyDescent="0.2">
      <c r="A108" s="239">
        <v>122</v>
      </c>
      <c r="B108" s="197" t="s">
        <v>116</v>
      </c>
      <c r="C108" s="197" t="s">
        <v>112</v>
      </c>
      <c r="D108" s="243" t="s">
        <v>1043</v>
      </c>
      <c r="E108" s="243" t="s">
        <v>1044</v>
      </c>
      <c r="F108" s="255">
        <v>20.100000000000001</v>
      </c>
      <c r="G108" s="251">
        <f t="shared" si="4"/>
        <v>3</v>
      </c>
      <c r="H108" s="256">
        <v>3000</v>
      </c>
      <c r="I108" s="246" t="s">
        <v>606</v>
      </c>
      <c r="J108" s="246" t="s">
        <v>40</v>
      </c>
      <c r="K108" s="246" t="s">
        <v>738</v>
      </c>
      <c r="L108" s="246"/>
      <c r="M108" s="197">
        <v>20</v>
      </c>
      <c r="N108" s="197">
        <f>3.2</f>
        <v>3.2</v>
      </c>
      <c r="O108" s="197">
        <f>M108-N108</f>
        <v>16.8</v>
      </c>
      <c r="P108" s="197">
        <v>2.2000000000000002</v>
      </c>
      <c r="T108" s="197">
        <f>3.2*1.63</f>
        <v>5.2160000000000002</v>
      </c>
      <c r="U108" s="197">
        <f>3.2*2.4</f>
        <v>7.68</v>
      </c>
      <c r="AM108" s="197">
        <f t="shared" si="5"/>
        <v>4.3840000000000012</v>
      </c>
      <c r="AP108" s="197">
        <f t="shared" si="6"/>
        <v>42.720000000000006</v>
      </c>
      <c r="AT108" s="197">
        <f>P108*G108-V108</f>
        <v>6.6000000000000005</v>
      </c>
    </row>
    <row r="109" spans="1:50" x14ac:dyDescent="0.2">
      <c r="A109" s="239">
        <v>123</v>
      </c>
      <c r="B109" s="197" t="s">
        <v>116</v>
      </c>
      <c r="C109" s="197" t="s">
        <v>112</v>
      </c>
      <c r="D109" s="243" t="s">
        <v>1045</v>
      </c>
      <c r="E109" s="243" t="s">
        <v>1046</v>
      </c>
      <c r="F109" s="255">
        <v>61.8</v>
      </c>
      <c r="G109" s="251">
        <f t="shared" si="4"/>
        <v>3</v>
      </c>
      <c r="H109" s="256">
        <v>3000</v>
      </c>
      <c r="I109" s="246" t="s">
        <v>606</v>
      </c>
      <c r="J109" s="246" t="s">
        <v>36</v>
      </c>
      <c r="K109" s="257" t="s">
        <v>32</v>
      </c>
      <c r="L109" s="246"/>
      <c r="M109" s="197">
        <v>37.299999999999997</v>
      </c>
      <c r="N109" s="197">
        <f>10.125</f>
        <v>10.125</v>
      </c>
      <c r="O109" s="197">
        <f>M109-N109</f>
        <v>27.174999999999997</v>
      </c>
      <c r="T109" s="197">
        <f>10.125*1.63</f>
        <v>16.50375</v>
      </c>
      <c r="U109" s="197">
        <f>3.25*3</f>
        <v>9.75</v>
      </c>
      <c r="AM109" s="197">
        <f t="shared" si="5"/>
        <v>13.87125</v>
      </c>
      <c r="AP109" s="197">
        <f t="shared" si="6"/>
        <v>71.774999999999991</v>
      </c>
    </row>
    <row r="110" spans="1:50" x14ac:dyDescent="0.2">
      <c r="A110" s="197">
        <v>124</v>
      </c>
      <c r="B110" s="197" t="s">
        <v>116</v>
      </c>
      <c r="C110" s="197" t="s">
        <v>112</v>
      </c>
      <c r="D110" s="243" t="s">
        <v>1047</v>
      </c>
      <c r="E110" s="243" t="s">
        <v>1048</v>
      </c>
      <c r="F110" s="255">
        <v>65.650000000000006</v>
      </c>
      <c r="G110" s="251">
        <f t="shared" si="4"/>
        <v>3</v>
      </c>
      <c r="H110" s="256">
        <v>3000</v>
      </c>
      <c r="I110" s="246" t="s">
        <v>606</v>
      </c>
      <c r="J110" s="246" t="s">
        <v>280</v>
      </c>
      <c r="K110" s="246" t="s">
        <v>738</v>
      </c>
      <c r="L110" s="246"/>
      <c r="M110" s="197">
        <v>33.700000000000003</v>
      </c>
      <c r="N110" s="197">
        <v>9.65</v>
      </c>
      <c r="O110" s="197">
        <f>M110-N110</f>
        <v>24.050000000000004</v>
      </c>
      <c r="P110" s="197">
        <v>2.2000000000000002</v>
      </c>
      <c r="T110" s="197">
        <f>9.65*2.05</f>
        <v>19.782499999999999</v>
      </c>
      <c r="U110" s="197">
        <f>9.65*3</f>
        <v>28.950000000000003</v>
      </c>
      <c r="AM110" s="197">
        <f t="shared" si="5"/>
        <v>9.167500000000004</v>
      </c>
      <c r="AP110" s="197">
        <f t="shared" si="6"/>
        <v>43.2</v>
      </c>
      <c r="AS110" s="197">
        <f>P110*G110-V110</f>
        <v>6.6000000000000005</v>
      </c>
    </row>
    <row r="111" spans="1:50" ht="30" x14ac:dyDescent="0.2">
      <c r="A111" s="239">
        <v>125</v>
      </c>
      <c r="B111" s="197" t="s">
        <v>116</v>
      </c>
      <c r="C111" s="197" t="s">
        <v>112</v>
      </c>
      <c r="D111" s="243" t="s">
        <v>1049</v>
      </c>
      <c r="E111" s="243" t="s">
        <v>1044</v>
      </c>
      <c r="F111" s="255">
        <v>21.8</v>
      </c>
      <c r="G111" s="251">
        <f t="shared" si="4"/>
        <v>3</v>
      </c>
      <c r="H111" s="256">
        <v>3000</v>
      </c>
      <c r="I111" s="246" t="s">
        <v>606</v>
      </c>
      <c r="J111" s="246" t="s">
        <v>40</v>
      </c>
      <c r="K111" s="246" t="s">
        <v>738</v>
      </c>
      <c r="L111" s="246"/>
      <c r="M111" s="197">
        <v>20.7</v>
      </c>
      <c r="N111" s="197">
        <f>3.2</f>
        <v>3.2</v>
      </c>
      <c r="O111" s="197">
        <f>M111-N111</f>
        <v>17.5</v>
      </c>
      <c r="P111" s="197">
        <f>2.2</f>
        <v>2.2000000000000002</v>
      </c>
      <c r="T111" s="197">
        <f>3.2*2.05</f>
        <v>6.56</v>
      </c>
      <c r="U111" s="197">
        <f>3.2*2.4</f>
        <v>7.68</v>
      </c>
      <c r="AM111" s="197">
        <f t="shared" si="5"/>
        <v>3.0400000000000018</v>
      </c>
      <c r="AP111" s="197">
        <f t="shared" si="6"/>
        <v>44.82</v>
      </c>
      <c r="AT111" s="197">
        <f>P111*G111-V111</f>
        <v>6.6000000000000005</v>
      </c>
    </row>
    <row r="112" spans="1:50" x14ac:dyDescent="0.2">
      <c r="A112" s="239">
        <v>126</v>
      </c>
      <c r="B112" s="197" t="s">
        <v>116</v>
      </c>
      <c r="C112" s="197" t="s">
        <v>112</v>
      </c>
      <c r="D112" s="243" t="s">
        <v>1054</v>
      </c>
      <c r="E112" s="243" t="s">
        <v>1055</v>
      </c>
      <c r="F112" s="255">
        <v>8.6</v>
      </c>
      <c r="G112" s="251">
        <f t="shared" si="4"/>
        <v>3</v>
      </c>
      <c r="H112" s="256">
        <v>3000</v>
      </c>
      <c r="I112" s="246" t="s">
        <v>1056</v>
      </c>
      <c r="J112" s="246" t="s">
        <v>42</v>
      </c>
      <c r="K112" s="246" t="s">
        <v>738</v>
      </c>
      <c r="L112" s="246"/>
      <c r="M112" s="197">
        <v>11.8</v>
      </c>
      <c r="N112" s="197">
        <f>M112</f>
        <v>11.8</v>
      </c>
      <c r="O112" s="197">
        <f>M112</f>
        <v>11.8</v>
      </c>
      <c r="T112" s="197">
        <f>3.2*2.4+1.25*3+1.25*2.4</f>
        <v>14.43</v>
      </c>
      <c r="U112" s="197">
        <f>3.2*2.4+1.25*3+1.25*2.4</f>
        <v>14.43</v>
      </c>
      <c r="AP112" s="197">
        <f>N112*G112-T112</f>
        <v>20.970000000000006</v>
      </c>
      <c r="AT112" s="197">
        <f>O112*G112-U112</f>
        <v>20.970000000000006</v>
      </c>
    </row>
    <row r="113" spans="1:46" x14ac:dyDescent="0.2">
      <c r="A113" s="197">
        <v>127</v>
      </c>
      <c r="B113" s="197" t="s">
        <v>116</v>
      </c>
      <c r="C113" s="197" t="s">
        <v>112</v>
      </c>
      <c r="D113" s="243" t="s">
        <v>1057</v>
      </c>
      <c r="E113" s="243" t="s">
        <v>1058</v>
      </c>
      <c r="F113" s="255">
        <v>12.05</v>
      </c>
      <c r="G113" s="251">
        <f t="shared" si="4"/>
        <v>3</v>
      </c>
      <c r="H113" s="256">
        <v>3000</v>
      </c>
      <c r="I113" s="246" t="s">
        <v>1056</v>
      </c>
      <c r="J113" s="246" t="s">
        <v>43</v>
      </c>
      <c r="K113" s="246" t="s">
        <v>778</v>
      </c>
      <c r="L113" s="246"/>
      <c r="M113" s="197">
        <v>14</v>
      </c>
      <c r="N113" s="197">
        <v>3.0249999999999999</v>
      </c>
      <c r="O113" s="197">
        <f>M113-N113</f>
        <v>10.975</v>
      </c>
      <c r="T113" s="197">
        <f>3.025*2.05</f>
        <v>6.201249999999999</v>
      </c>
      <c r="U113" s="197">
        <f>1.25*2.4</f>
        <v>3</v>
      </c>
      <c r="AS113" s="197">
        <f>N113*G113-T113</f>
        <v>2.8737500000000002</v>
      </c>
      <c r="AT113" s="197">
        <f>O113*G113-U113</f>
        <v>29.924999999999997</v>
      </c>
    </row>
    <row r="114" spans="1:46" x14ac:dyDescent="0.2">
      <c r="A114" s="239">
        <v>128</v>
      </c>
      <c r="B114" s="197" t="s">
        <v>116</v>
      </c>
      <c r="C114" s="197" t="s">
        <v>112</v>
      </c>
      <c r="D114" s="243" t="s">
        <v>1059</v>
      </c>
      <c r="E114" s="243" t="s">
        <v>1060</v>
      </c>
      <c r="F114" s="255">
        <v>45.35</v>
      </c>
      <c r="G114" s="251">
        <f t="shared" si="4"/>
        <v>3</v>
      </c>
      <c r="H114" s="256">
        <v>3000</v>
      </c>
      <c r="I114" s="246" t="s">
        <v>1056</v>
      </c>
      <c r="J114" s="246" t="s">
        <v>43</v>
      </c>
      <c r="K114" s="257" t="s">
        <v>44</v>
      </c>
      <c r="L114" s="246"/>
      <c r="M114" s="197">
        <v>27.6</v>
      </c>
      <c r="N114" s="197">
        <f>6.7</f>
        <v>6.7</v>
      </c>
      <c r="O114" s="197">
        <f>M114-N114</f>
        <v>20.900000000000002</v>
      </c>
      <c r="T114" s="197">
        <f>6.7*2.05</f>
        <v>13.734999999999999</v>
      </c>
      <c r="U114" s="197">
        <f>6.7*3+1.25*3</f>
        <v>23.85</v>
      </c>
      <c r="AS114" s="197">
        <f>N114*G114-T114</f>
        <v>6.365000000000002</v>
      </c>
      <c r="AT114" s="197">
        <f>O114*G114-U114</f>
        <v>38.85</v>
      </c>
    </row>
    <row r="115" spans="1:46" x14ac:dyDescent="0.2">
      <c r="A115" s="239">
        <v>129</v>
      </c>
      <c r="B115" s="197" t="s">
        <v>116</v>
      </c>
      <c r="C115" s="197" t="s">
        <v>112</v>
      </c>
      <c r="D115" s="243" t="s">
        <v>1061</v>
      </c>
      <c r="E115" s="243" t="s">
        <v>1062</v>
      </c>
      <c r="F115" s="255">
        <v>2.8</v>
      </c>
      <c r="G115" s="251">
        <f t="shared" si="4"/>
        <v>2.4</v>
      </c>
      <c r="H115" s="256">
        <v>2400</v>
      </c>
      <c r="I115" s="246" t="s">
        <v>1056</v>
      </c>
      <c r="J115" s="246" t="s">
        <v>45</v>
      </c>
      <c r="K115" s="246" t="s">
        <v>738</v>
      </c>
      <c r="L115" s="246"/>
      <c r="M115" s="197">
        <f>7</f>
        <v>7</v>
      </c>
      <c r="N115" s="197">
        <f t="shared" ref="N115:N125" si="7">M115</f>
        <v>7</v>
      </c>
      <c r="T115" s="197">
        <f>1.5*2.1+1*2.4</f>
        <v>5.5500000000000007</v>
      </c>
      <c r="AQ115" s="197">
        <f t="shared" ref="AQ115:AQ121" si="8">N115*G115-T115</f>
        <v>11.25</v>
      </c>
    </row>
    <row r="116" spans="1:46" x14ac:dyDescent="0.2">
      <c r="A116" s="197">
        <v>130</v>
      </c>
      <c r="B116" s="197" t="s">
        <v>116</v>
      </c>
      <c r="C116" s="197" t="s">
        <v>112</v>
      </c>
      <c r="D116" s="243" t="s">
        <v>1063</v>
      </c>
      <c r="E116" s="243" t="s">
        <v>1064</v>
      </c>
      <c r="F116" s="255">
        <v>1.9</v>
      </c>
      <c r="G116" s="251">
        <f t="shared" si="4"/>
        <v>2.4</v>
      </c>
      <c r="H116" s="256">
        <v>2400</v>
      </c>
      <c r="I116" s="246" t="s">
        <v>1056</v>
      </c>
      <c r="J116" s="246" t="s">
        <v>45</v>
      </c>
      <c r="K116" s="246" t="s">
        <v>738</v>
      </c>
      <c r="L116" s="246"/>
      <c r="M116" s="197">
        <v>5.7</v>
      </c>
      <c r="N116" s="197">
        <f t="shared" si="7"/>
        <v>5.7</v>
      </c>
      <c r="T116" s="197">
        <f>1.5*2.1</f>
        <v>3.1500000000000004</v>
      </c>
      <c r="AQ116" s="197">
        <f t="shared" si="8"/>
        <v>10.53</v>
      </c>
    </row>
    <row r="117" spans="1:46" x14ac:dyDescent="0.2">
      <c r="A117" s="239">
        <v>131</v>
      </c>
      <c r="B117" s="197" t="s">
        <v>116</v>
      </c>
      <c r="C117" s="197" t="s">
        <v>112</v>
      </c>
      <c r="D117" s="243" t="s">
        <v>1065</v>
      </c>
      <c r="E117" s="243" t="s">
        <v>811</v>
      </c>
      <c r="F117" s="255">
        <v>3.75</v>
      </c>
      <c r="G117" s="251">
        <f t="shared" si="4"/>
        <v>2.4</v>
      </c>
      <c r="H117" s="256">
        <v>2400</v>
      </c>
      <c r="I117" s="246" t="s">
        <v>1056</v>
      </c>
      <c r="J117" s="246" t="s">
        <v>45</v>
      </c>
      <c r="K117" s="246" t="s">
        <v>738</v>
      </c>
      <c r="L117" s="246"/>
      <c r="M117" s="197">
        <v>7.85</v>
      </c>
      <c r="N117" s="197">
        <f t="shared" si="7"/>
        <v>7.85</v>
      </c>
      <c r="T117" s="197">
        <f>1.7*2.4</f>
        <v>4.08</v>
      </c>
      <c r="AQ117" s="197">
        <f t="shared" si="8"/>
        <v>14.76</v>
      </c>
    </row>
    <row r="118" spans="1:46" x14ac:dyDescent="0.2">
      <c r="A118" s="239">
        <v>132</v>
      </c>
      <c r="B118" s="197" t="s">
        <v>116</v>
      </c>
      <c r="C118" s="197" t="s">
        <v>112</v>
      </c>
      <c r="D118" s="243" t="s">
        <v>1066</v>
      </c>
      <c r="E118" s="243" t="s">
        <v>1067</v>
      </c>
      <c r="F118" s="255">
        <v>5.3</v>
      </c>
      <c r="G118" s="251">
        <f t="shared" si="4"/>
        <v>2.4</v>
      </c>
      <c r="H118" s="256">
        <v>2400</v>
      </c>
      <c r="I118" s="246" t="s">
        <v>1056</v>
      </c>
      <c r="J118" s="246" t="s">
        <v>45</v>
      </c>
      <c r="K118" s="246" t="s">
        <v>738</v>
      </c>
      <c r="L118" s="246"/>
      <c r="M118" s="197">
        <v>9.3000000000000007</v>
      </c>
      <c r="N118" s="197">
        <f t="shared" si="7"/>
        <v>9.3000000000000007</v>
      </c>
      <c r="T118" s="197">
        <f>2.4*2.4</f>
        <v>5.76</v>
      </c>
      <c r="AQ118" s="197">
        <f t="shared" si="8"/>
        <v>16.560000000000002</v>
      </c>
    </row>
    <row r="119" spans="1:46" x14ac:dyDescent="0.2">
      <c r="A119" s="197">
        <v>133</v>
      </c>
      <c r="B119" s="197" t="s">
        <v>116</v>
      </c>
      <c r="C119" s="197" t="s">
        <v>112</v>
      </c>
      <c r="D119" s="243" t="s">
        <v>1068</v>
      </c>
      <c r="E119" s="243" t="s">
        <v>1069</v>
      </c>
      <c r="F119" s="255">
        <v>5.05</v>
      </c>
      <c r="G119" s="251">
        <f t="shared" si="4"/>
        <v>2.4</v>
      </c>
      <c r="H119" s="256">
        <v>2400</v>
      </c>
      <c r="I119" s="246" t="s">
        <v>1056</v>
      </c>
      <c r="J119" s="246" t="s">
        <v>45</v>
      </c>
      <c r="K119" s="246" t="s">
        <v>738</v>
      </c>
      <c r="L119" s="246"/>
      <c r="M119" s="197">
        <v>9.35</v>
      </c>
      <c r="N119" s="197">
        <f t="shared" si="7"/>
        <v>9.35</v>
      </c>
      <c r="T119" s="197">
        <f>3.15*2.4+1.2*2.4</f>
        <v>10.44</v>
      </c>
      <c r="AQ119" s="197">
        <f t="shared" si="8"/>
        <v>11.999999999999998</v>
      </c>
    </row>
    <row r="120" spans="1:46" x14ac:dyDescent="0.2">
      <c r="A120" s="239">
        <v>134</v>
      </c>
      <c r="B120" s="197" t="s">
        <v>116</v>
      </c>
      <c r="C120" s="197" t="s">
        <v>112</v>
      </c>
      <c r="D120" s="243" t="s">
        <v>1070</v>
      </c>
      <c r="E120" s="243" t="s">
        <v>1071</v>
      </c>
      <c r="F120" s="255">
        <v>5.15</v>
      </c>
      <c r="G120" s="251">
        <f t="shared" si="4"/>
        <v>2.4</v>
      </c>
      <c r="H120" s="256">
        <v>2400</v>
      </c>
      <c r="I120" s="246" t="s">
        <v>1056</v>
      </c>
      <c r="J120" s="246" t="s">
        <v>45</v>
      </c>
      <c r="K120" s="246" t="s">
        <v>778</v>
      </c>
      <c r="L120" s="246"/>
      <c r="M120" s="197">
        <v>8.9499999999999993</v>
      </c>
      <c r="N120" s="197">
        <f t="shared" si="7"/>
        <v>8.9499999999999993</v>
      </c>
      <c r="T120" s="197">
        <f>1.2*2.4</f>
        <v>2.88</v>
      </c>
      <c r="AQ120" s="197">
        <f t="shared" si="8"/>
        <v>18.599999999999998</v>
      </c>
    </row>
    <row r="121" spans="1:46" x14ac:dyDescent="0.2">
      <c r="A121" s="239">
        <v>135</v>
      </c>
      <c r="B121" s="197" t="s">
        <v>116</v>
      </c>
      <c r="C121" s="197" t="s">
        <v>112</v>
      </c>
      <c r="D121" s="243" t="s">
        <v>1072</v>
      </c>
      <c r="E121" s="243" t="s">
        <v>1073</v>
      </c>
      <c r="F121" s="255">
        <v>5.15</v>
      </c>
      <c r="G121" s="251">
        <f t="shared" si="4"/>
        <v>2.4</v>
      </c>
      <c r="H121" s="256">
        <v>2400</v>
      </c>
      <c r="I121" s="246" t="s">
        <v>1056</v>
      </c>
      <c r="J121" s="246" t="s">
        <v>45</v>
      </c>
      <c r="K121" s="246" t="s">
        <v>778</v>
      </c>
      <c r="L121" s="246"/>
      <c r="M121" s="197">
        <v>8.9</v>
      </c>
      <c r="N121" s="197">
        <f t="shared" si="7"/>
        <v>8.9</v>
      </c>
      <c r="T121" s="197">
        <f>1.2*2.4</f>
        <v>2.88</v>
      </c>
      <c r="AQ121" s="197">
        <f t="shared" si="8"/>
        <v>18.48</v>
      </c>
    </row>
    <row r="122" spans="1:46" x14ac:dyDescent="0.2">
      <c r="A122" s="197">
        <v>136</v>
      </c>
      <c r="B122" s="197" t="s">
        <v>116</v>
      </c>
      <c r="C122" s="197" t="s">
        <v>112</v>
      </c>
      <c r="D122" s="243" t="s">
        <v>1074</v>
      </c>
      <c r="E122" s="243" t="s">
        <v>1075</v>
      </c>
      <c r="F122" s="255">
        <v>5.05</v>
      </c>
      <c r="G122" s="251">
        <f t="shared" si="4"/>
        <v>2.4</v>
      </c>
      <c r="H122" s="256">
        <v>2400</v>
      </c>
      <c r="I122" s="246" t="s">
        <v>1056</v>
      </c>
      <c r="J122" s="246" t="s">
        <v>46</v>
      </c>
      <c r="K122" s="246" t="s">
        <v>738</v>
      </c>
      <c r="L122" s="246"/>
      <c r="M122" s="197">
        <v>9.35</v>
      </c>
      <c r="N122" s="197">
        <f t="shared" si="7"/>
        <v>9.35</v>
      </c>
      <c r="T122" s="197">
        <f>1.2*2.4+3.15*2.4</f>
        <v>10.44</v>
      </c>
      <c r="AP122" s="197">
        <f>N122*G122-T122</f>
        <v>11.999999999999998</v>
      </c>
      <c r="AQ122" s="197">
        <f>O122*G122-U122</f>
        <v>0</v>
      </c>
    </row>
    <row r="123" spans="1:46" x14ac:dyDescent="0.2">
      <c r="A123" s="239">
        <v>137</v>
      </c>
      <c r="B123" s="197" t="s">
        <v>116</v>
      </c>
      <c r="C123" s="197" t="s">
        <v>112</v>
      </c>
      <c r="D123" s="243" t="s">
        <v>1076</v>
      </c>
      <c r="E123" s="243" t="s">
        <v>1062</v>
      </c>
      <c r="F123" s="255">
        <v>3</v>
      </c>
      <c r="G123" s="251">
        <f t="shared" si="4"/>
        <v>2.4</v>
      </c>
      <c r="H123" s="256">
        <v>2400</v>
      </c>
      <c r="I123" s="246" t="s">
        <v>1056</v>
      </c>
      <c r="J123" s="246" t="s">
        <v>45</v>
      </c>
      <c r="K123" s="246" t="s">
        <v>738</v>
      </c>
      <c r="L123" s="246"/>
      <c r="M123" s="197">
        <v>6.9</v>
      </c>
      <c r="N123" s="197">
        <f t="shared" si="7"/>
        <v>6.9</v>
      </c>
      <c r="T123" s="197">
        <f>1.15*2.1+1.7*2.1</f>
        <v>5.9849999999999994</v>
      </c>
      <c r="AQ123" s="197">
        <f>N123*G123-T123</f>
        <v>10.574999999999999</v>
      </c>
    </row>
    <row r="124" spans="1:46" x14ac:dyDescent="0.2">
      <c r="A124" s="239">
        <v>138</v>
      </c>
      <c r="B124" s="197" t="s">
        <v>116</v>
      </c>
      <c r="C124" s="197" t="s">
        <v>112</v>
      </c>
      <c r="D124" s="243" t="s">
        <v>1077</v>
      </c>
      <c r="E124" s="243" t="s">
        <v>780</v>
      </c>
      <c r="F124" s="255">
        <v>1.5</v>
      </c>
      <c r="G124" s="251">
        <f t="shared" si="4"/>
        <v>2.4</v>
      </c>
      <c r="H124" s="256">
        <v>2400</v>
      </c>
      <c r="I124" s="246" t="s">
        <v>1056</v>
      </c>
      <c r="J124" s="246" t="s">
        <v>45</v>
      </c>
      <c r="K124" s="246" t="s">
        <v>738</v>
      </c>
      <c r="L124" s="246"/>
      <c r="M124" s="197">
        <v>5.0999999999999996</v>
      </c>
      <c r="N124" s="197">
        <f t="shared" si="7"/>
        <v>5.0999999999999996</v>
      </c>
      <c r="T124" s="197">
        <f>1.7*2.1</f>
        <v>3.57</v>
      </c>
      <c r="AQ124" s="197">
        <f>N124*G124-T124</f>
        <v>8.6699999999999982</v>
      </c>
    </row>
    <row r="125" spans="1:46" x14ac:dyDescent="0.2">
      <c r="A125" s="197">
        <v>139</v>
      </c>
      <c r="B125" s="197" t="s">
        <v>116</v>
      </c>
      <c r="C125" s="197" t="s">
        <v>112</v>
      </c>
      <c r="D125" s="243" t="s">
        <v>622</v>
      </c>
      <c r="E125" s="243" t="s">
        <v>623</v>
      </c>
      <c r="F125" s="255">
        <v>2.6</v>
      </c>
      <c r="G125" s="255"/>
      <c r="H125" s="242">
        <v>3600</v>
      </c>
      <c r="I125" s="242" t="s">
        <v>9</v>
      </c>
      <c r="J125" s="246" t="s">
        <v>47</v>
      </c>
      <c r="K125" s="242" t="s">
        <v>9</v>
      </c>
      <c r="L125" s="242"/>
      <c r="M125" s="197">
        <f>0.8+2.75+0.2*2+0.8*2</f>
        <v>5.55</v>
      </c>
      <c r="N125" s="197">
        <f t="shared" si="7"/>
        <v>5.55</v>
      </c>
      <c r="AL125" s="197">
        <f>N125*H125/1000</f>
        <v>19.98</v>
      </c>
    </row>
    <row r="126" spans="1:46" ht="45" x14ac:dyDescent="0.2">
      <c r="A126" s="239">
        <v>140</v>
      </c>
      <c r="B126" s="197" t="s">
        <v>116</v>
      </c>
      <c r="C126" s="197" t="s">
        <v>112</v>
      </c>
      <c r="D126" s="243" t="s">
        <v>1277</v>
      </c>
      <c r="E126" s="243" t="s">
        <v>1278</v>
      </c>
      <c r="F126" s="255">
        <v>41.8</v>
      </c>
      <c r="G126" s="255"/>
      <c r="H126" s="242"/>
      <c r="I126" s="242"/>
      <c r="J126" s="242"/>
      <c r="K126" s="242"/>
      <c r="L126" s="242"/>
    </row>
    <row r="127" spans="1:46" x14ac:dyDescent="0.2">
      <c r="A127" s="239">
        <v>146</v>
      </c>
      <c r="B127" s="197" t="s">
        <v>116</v>
      </c>
      <c r="C127" s="197" t="s">
        <v>113</v>
      </c>
      <c r="D127" s="242"/>
      <c r="E127" s="243" t="s">
        <v>1279</v>
      </c>
      <c r="F127" s="244"/>
      <c r="G127" s="244"/>
      <c r="H127" s="242"/>
      <c r="I127" s="242"/>
      <c r="J127" s="242"/>
      <c r="K127" s="242"/>
      <c r="L127" s="245"/>
    </row>
    <row r="128" spans="1:46" x14ac:dyDescent="0.2">
      <c r="A128" s="239">
        <v>147</v>
      </c>
      <c r="B128" s="197" t="s">
        <v>116</v>
      </c>
      <c r="C128" s="197" t="s">
        <v>113</v>
      </c>
      <c r="D128" s="242"/>
      <c r="E128" s="243" t="s">
        <v>1280</v>
      </c>
      <c r="F128" s="244"/>
      <c r="G128" s="244"/>
      <c r="H128" s="242"/>
      <c r="I128" s="242"/>
      <c r="J128" s="242"/>
      <c r="K128" s="242"/>
      <c r="L128" s="245"/>
    </row>
    <row r="129" spans="1:46" x14ac:dyDescent="0.2">
      <c r="A129" s="197">
        <v>148</v>
      </c>
      <c r="B129" s="197" t="s">
        <v>116</v>
      </c>
      <c r="C129" s="197" t="s">
        <v>113</v>
      </c>
      <c r="D129" s="246" t="s">
        <v>1021</v>
      </c>
      <c r="E129" s="243" t="s">
        <v>1022</v>
      </c>
      <c r="F129" s="259">
        <v>44.7</v>
      </c>
      <c r="G129" s="251">
        <f t="shared" ref="G129:G139" si="9">H129/1000</f>
        <v>3</v>
      </c>
      <c r="H129" s="246">
        <v>3000</v>
      </c>
      <c r="I129" s="246" t="s">
        <v>1024</v>
      </c>
      <c r="J129" s="246" t="s">
        <v>28</v>
      </c>
      <c r="K129" s="246" t="s">
        <v>1025</v>
      </c>
      <c r="L129" s="243"/>
      <c r="M129" s="197">
        <f>32.3+10.25</f>
        <v>42.55</v>
      </c>
      <c r="N129" s="197">
        <f>M129-O129-P129</f>
        <v>38.274999999999999</v>
      </c>
      <c r="O129" s="197">
        <v>1.9</v>
      </c>
      <c r="P129" s="197">
        <f>2.25+0.125</f>
        <v>2.375</v>
      </c>
      <c r="T129" s="197">
        <f>1.1*2.1+1.15*2.5+1.4*2.5+4.05*2.4+5.15*3</f>
        <v>33.855000000000004</v>
      </c>
      <c r="AM129" s="197">
        <f>N129*G129-T129</f>
        <v>80.969999999999985</v>
      </c>
      <c r="AN129" s="197">
        <f>O129*G129-U129</f>
        <v>5.6999999999999993</v>
      </c>
      <c r="AO129" s="197">
        <f>P129*G129-V129</f>
        <v>7.125</v>
      </c>
    </row>
    <row r="130" spans="1:46" x14ac:dyDescent="0.2">
      <c r="A130" s="239">
        <v>149</v>
      </c>
      <c r="B130" s="197" t="s">
        <v>116</v>
      </c>
      <c r="C130" s="197" t="s">
        <v>113</v>
      </c>
      <c r="D130" s="246" t="s">
        <v>624</v>
      </c>
      <c r="E130" s="243" t="s">
        <v>625</v>
      </c>
      <c r="F130" s="259">
        <v>6.1</v>
      </c>
      <c r="G130" s="251" t="e">
        <f t="shared" si="9"/>
        <v>#VALUE!</v>
      </c>
      <c r="H130" s="242" t="s">
        <v>9</v>
      </c>
      <c r="I130" s="242" t="s">
        <v>9</v>
      </c>
      <c r="J130" s="246" t="s">
        <v>8</v>
      </c>
      <c r="K130" s="242" t="s">
        <v>9</v>
      </c>
      <c r="L130" s="245"/>
    </row>
    <row r="131" spans="1:46" x14ac:dyDescent="0.2">
      <c r="A131" s="239">
        <v>150</v>
      </c>
      <c r="B131" s="197" t="s">
        <v>116</v>
      </c>
      <c r="C131" s="197" t="s">
        <v>113</v>
      </c>
      <c r="D131" s="246" t="s">
        <v>626</v>
      </c>
      <c r="E131" s="243" t="s">
        <v>627</v>
      </c>
      <c r="F131" s="259">
        <v>4.5</v>
      </c>
      <c r="G131" s="251" t="e">
        <f t="shared" si="9"/>
        <v>#VALUE!</v>
      </c>
      <c r="H131" s="242" t="s">
        <v>9</v>
      </c>
      <c r="I131" s="242" t="s">
        <v>9</v>
      </c>
      <c r="J131" s="246" t="s">
        <v>8</v>
      </c>
      <c r="K131" s="242" t="s">
        <v>9</v>
      </c>
      <c r="L131" s="245"/>
    </row>
    <row r="132" spans="1:46" x14ac:dyDescent="0.2">
      <c r="A132" s="197">
        <v>151</v>
      </c>
      <c r="B132" s="197" t="s">
        <v>116</v>
      </c>
      <c r="C132" s="197" t="s">
        <v>113</v>
      </c>
      <c r="D132" s="246" t="s">
        <v>1305</v>
      </c>
      <c r="E132" s="243" t="s">
        <v>1306</v>
      </c>
      <c r="F132" s="259">
        <v>14.7</v>
      </c>
      <c r="G132" s="251">
        <f t="shared" si="9"/>
        <v>2.61</v>
      </c>
      <c r="H132" s="260">
        <v>2610</v>
      </c>
      <c r="I132" s="261" t="s">
        <v>49</v>
      </c>
      <c r="J132" s="246" t="s">
        <v>34</v>
      </c>
      <c r="K132" s="246" t="s">
        <v>1098</v>
      </c>
      <c r="L132" s="243"/>
      <c r="M132" s="197">
        <v>25.9</v>
      </c>
      <c r="N132" s="197">
        <f>M132</f>
        <v>25.9</v>
      </c>
      <c r="T132" s="197">
        <f>(1.665+2.5+4+4)*2.1+1.15*2.5</f>
        <v>28.421499999999998</v>
      </c>
      <c r="AP132" s="197">
        <f>N132*G132-T132</f>
        <v>39.177499999999995</v>
      </c>
    </row>
    <row r="133" spans="1:46" x14ac:dyDescent="0.2">
      <c r="A133" s="239">
        <v>152</v>
      </c>
      <c r="B133" s="197" t="s">
        <v>116</v>
      </c>
      <c r="C133" s="197" t="s">
        <v>113</v>
      </c>
      <c r="D133" s="246" t="s">
        <v>1182</v>
      </c>
      <c r="E133" s="243" t="s">
        <v>1183</v>
      </c>
      <c r="F133" s="259">
        <v>21.05</v>
      </c>
      <c r="G133" s="251">
        <f t="shared" si="9"/>
        <v>3</v>
      </c>
      <c r="H133" s="260">
        <v>3000</v>
      </c>
      <c r="I133" s="246" t="s">
        <v>1184</v>
      </c>
      <c r="J133" s="246" t="s">
        <v>40</v>
      </c>
      <c r="K133" s="246" t="s">
        <v>1098</v>
      </c>
      <c r="L133" s="243"/>
      <c r="M133" s="197">
        <v>20.05</v>
      </c>
      <c r="N133" s="197">
        <v>3.25</v>
      </c>
      <c r="O133" s="197">
        <f>M133-N133</f>
        <v>16.8</v>
      </c>
      <c r="P133" s="197">
        <v>3.75</v>
      </c>
      <c r="T133" s="197">
        <f>3.25*2.05</f>
        <v>6.6624999999999996</v>
      </c>
      <c r="U133" s="197">
        <f>2.45*2.1</f>
        <v>5.1450000000000005</v>
      </c>
      <c r="AM133" s="197">
        <f>N133*G133-T133</f>
        <v>3.0875000000000004</v>
      </c>
      <c r="AP133" s="197">
        <f>O133*G133-U133</f>
        <v>45.255000000000003</v>
      </c>
      <c r="AT133" s="197">
        <f>P133*G133-V133</f>
        <v>11.25</v>
      </c>
    </row>
    <row r="134" spans="1:46" x14ac:dyDescent="0.2">
      <c r="A134" s="239">
        <v>153</v>
      </c>
      <c r="B134" s="197" t="s">
        <v>116</v>
      </c>
      <c r="C134" s="197" t="s">
        <v>113</v>
      </c>
      <c r="D134" s="246" t="s">
        <v>1185</v>
      </c>
      <c r="E134" s="243" t="s">
        <v>1186</v>
      </c>
      <c r="F134" s="259">
        <v>13.2</v>
      </c>
      <c r="G134" s="251">
        <f t="shared" si="9"/>
        <v>3</v>
      </c>
      <c r="H134" s="260">
        <v>3000</v>
      </c>
      <c r="I134" s="261" t="s">
        <v>50</v>
      </c>
      <c r="J134" s="246" t="s">
        <v>36</v>
      </c>
      <c r="K134" s="246" t="s">
        <v>1098</v>
      </c>
      <c r="L134" s="243"/>
      <c r="M134" s="197">
        <v>16</v>
      </c>
      <c r="N134" s="197">
        <v>5</v>
      </c>
      <c r="O134" s="197">
        <v>11</v>
      </c>
      <c r="T134" s="197">
        <f>5*2.03</f>
        <v>10.149999999999999</v>
      </c>
      <c r="U134" s="197">
        <f>4*2.1</f>
        <v>8.4</v>
      </c>
      <c r="AM134" s="197">
        <f>N134*G134-T134</f>
        <v>4.8500000000000014</v>
      </c>
      <c r="AP134" s="197">
        <f>O134*G134-U134</f>
        <v>24.6</v>
      </c>
    </row>
    <row r="135" spans="1:46" x14ac:dyDescent="0.2">
      <c r="A135" s="197">
        <v>154</v>
      </c>
      <c r="B135" s="197" t="s">
        <v>116</v>
      </c>
      <c r="C135" s="197" t="s">
        <v>113</v>
      </c>
      <c r="D135" s="246" t="s">
        <v>1177</v>
      </c>
      <c r="E135" s="243" t="s">
        <v>1178</v>
      </c>
      <c r="F135" s="259">
        <v>13.3</v>
      </c>
      <c r="G135" s="251">
        <f t="shared" si="9"/>
        <v>3</v>
      </c>
      <c r="H135" s="262">
        <v>3000</v>
      </c>
      <c r="I135" s="246" t="s">
        <v>1307</v>
      </c>
      <c r="J135" s="246" t="s">
        <v>36</v>
      </c>
      <c r="K135" s="246" t="s">
        <v>1098</v>
      </c>
      <c r="L135" s="243"/>
      <c r="M135" s="197">
        <v>16</v>
      </c>
      <c r="N135" s="197">
        <v>5</v>
      </c>
      <c r="O135" s="197">
        <v>11</v>
      </c>
      <c r="T135" s="197">
        <f>5*2.03</f>
        <v>10.149999999999999</v>
      </c>
      <c r="U135" s="197">
        <f>4*2.1</f>
        <v>8.4</v>
      </c>
      <c r="AM135" s="197">
        <f>N135*G135-T135</f>
        <v>4.8500000000000014</v>
      </c>
      <c r="AP135" s="197">
        <f>O135*G135-U135</f>
        <v>24.6</v>
      </c>
    </row>
    <row r="136" spans="1:46" x14ac:dyDescent="0.2">
      <c r="A136" s="239">
        <v>155</v>
      </c>
      <c r="B136" s="197" t="s">
        <v>116</v>
      </c>
      <c r="C136" s="197" t="s">
        <v>113</v>
      </c>
      <c r="D136" s="246" t="s">
        <v>1210</v>
      </c>
      <c r="E136" s="243" t="s">
        <v>1211</v>
      </c>
      <c r="F136" s="263">
        <v>2.1</v>
      </c>
      <c r="G136" s="251">
        <f t="shared" si="9"/>
        <v>2.4</v>
      </c>
      <c r="H136" s="260">
        <v>2400</v>
      </c>
      <c r="I136" s="246" t="s">
        <v>642</v>
      </c>
      <c r="J136" s="246" t="s">
        <v>52</v>
      </c>
      <c r="K136" s="246" t="s">
        <v>1098</v>
      </c>
      <c r="L136" s="243"/>
      <c r="M136" s="197">
        <v>5.8</v>
      </c>
      <c r="N136" s="197">
        <f>M136</f>
        <v>5.8</v>
      </c>
      <c r="T136" s="197">
        <f>0.85*2.1+1.51*2.1</f>
        <v>4.9560000000000004</v>
      </c>
      <c r="AR136" s="197">
        <f>N136*G136-T136</f>
        <v>8.9639999999999986</v>
      </c>
    </row>
    <row r="137" spans="1:46" x14ac:dyDescent="0.2">
      <c r="A137" s="239">
        <v>156</v>
      </c>
      <c r="B137" s="197" t="s">
        <v>116</v>
      </c>
      <c r="C137" s="197" t="s">
        <v>113</v>
      </c>
      <c r="D137" s="246" t="s">
        <v>1212</v>
      </c>
      <c r="E137" s="243" t="s">
        <v>1213</v>
      </c>
      <c r="F137" s="263">
        <v>1.5</v>
      </c>
      <c r="G137" s="251">
        <f t="shared" si="9"/>
        <v>2.4</v>
      </c>
      <c r="H137" s="260">
        <v>2400</v>
      </c>
      <c r="I137" s="246" t="s">
        <v>642</v>
      </c>
      <c r="J137" s="246" t="s">
        <v>52</v>
      </c>
      <c r="K137" s="246" t="s">
        <v>1098</v>
      </c>
      <c r="L137" s="243"/>
      <c r="M137" s="197">
        <v>4.8499999999999996</v>
      </c>
      <c r="N137" s="197">
        <f>M137</f>
        <v>4.8499999999999996</v>
      </c>
      <c r="T137" s="197">
        <f>1.51*2.1</f>
        <v>3.1710000000000003</v>
      </c>
      <c r="AR137" s="197">
        <f>N137*G137-T137</f>
        <v>8.4689999999999976</v>
      </c>
    </row>
    <row r="138" spans="1:46" x14ac:dyDescent="0.2">
      <c r="A138" s="197">
        <v>157</v>
      </c>
      <c r="B138" s="197" t="s">
        <v>116</v>
      </c>
      <c r="C138" s="197" t="s">
        <v>113</v>
      </c>
      <c r="D138" s="246" t="s">
        <v>1214</v>
      </c>
      <c r="E138" s="243" t="s">
        <v>1215</v>
      </c>
      <c r="F138" s="259">
        <v>2.1</v>
      </c>
      <c r="G138" s="251">
        <f t="shared" si="9"/>
        <v>2.4</v>
      </c>
      <c r="H138" s="260">
        <v>2400</v>
      </c>
      <c r="I138" s="246" t="s">
        <v>1216</v>
      </c>
      <c r="J138" s="246" t="s">
        <v>52</v>
      </c>
      <c r="K138" s="246" t="s">
        <v>1098</v>
      </c>
      <c r="L138" s="243"/>
      <c r="M138" s="197">
        <v>5.8</v>
      </c>
      <c r="N138" s="197">
        <f>M138</f>
        <v>5.8</v>
      </c>
      <c r="T138" s="197">
        <f>0.85*2.1+1.51*2.1</f>
        <v>4.9560000000000004</v>
      </c>
      <c r="AR138" s="197">
        <f>N138*G138-T138</f>
        <v>8.9639999999999986</v>
      </c>
    </row>
    <row r="139" spans="1:46" x14ac:dyDescent="0.2">
      <c r="A139" s="239">
        <v>158</v>
      </c>
      <c r="B139" s="197" t="s">
        <v>116</v>
      </c>
      <c r="C139" s="197" t="s">
        <v>113</v>
      </c>
      <c r="D139" s="246" t="s">
        <v>1217</v>
      </c>
      <c r="E139" s="264" t="s">
        <v>53</v>
      </c>
      <c r="F139" s="259">
        <v>1.45</v>
      </c>
      <c r="G139" s="251">
        <f t="shared" si="9"/>
        <v>2.4</v>
      </c>
      <c r="H139" s="260">
        <v>2400</v>
      </c>
      <c r="I139" s="246" t="s">
        <v>1216</v>
      </c>
      <c r="J139" s="246" t="s">
        <v>52</v>
      </c>
      <c r="K139" s="246" t="s">
        <v>1098</v>
      </c>
      <c r="L139" s="243"/>
      <c r="M139" s="197">
        <v>4.8499999999999996</v>
      </c>
      <c r="N139" s="197">
        <f>M139</f>
        <v>4.8499999999999996</v>
      </c>
      <c r="T139" s="197">
        <f>1.51*2.1</f>
        <v>3.1710000000000003</v>
      </c>
      <c r="AR139" s="197">
        <f>N139*G139-T139</f>
        <v>8.4689999999999976</v>
      </c>
    </row>
    <row r="140" spans="1:46" ht="30" x14ac:dyDescent="0.2">
      <c r="A140" s="239">
        <v>159</v>
      </c>
      <c r="B140" s="197" t="s">
        <v>116</v>
      </c>
      <c r="C140" s="197" t="s">
        <v>113</v>
      </c>
      <c r="D140" s="265" t="s">
        <v>281</v>
      </c>
      <c r="E140" s="243" t="s">
        <v>1339</v>
      </c>
      <c r="F140" s="259">
        <v>63.75</v>
      </c>
      <c r="G140" s="259"/>
      <c r="H140" s="246">
        <v>3000</v>
      </c>
      <c r="I140" s="246" t="s">
        <v>1340</v>
      </c>
      <c r="J140" s="246" t="s">
        <v>54</v>
      </c>
      <c r="K140" s="266" t="s">
        <v>55</v>
      </c>
      <c r="L140" s="243"/>
      <c r="M140" s="197">
        <f>64.1+1.26*2+1.7-6.7</f>
        <v>61.61999999999999</v>
      </c>
      <c r="N140" s="197">
        <f>1.7+11.6+0.9+0.25+0.6+0.3*2</f>
        <v>15.649999999999999</v>
      </c>
      <c r="O140" s="197">
        <f>4.2+9.1+0.6+1.26*2</f>
        <v>16.420000000000002</v>
      </c>
      <c r="P140" s="197">
        <f>7.6+3.2+0.65+0.55</f>
        <v>12.000000000000002</v>
      </c>
      <c r="Q140" s="197">
        <f>0.6*2</f>
        <v>1.2</v>
      </c>
      <c r="R140" s="197">
        <f>M140-N140-O140-Q140</f>
        <v>28.349999999999991</v>
      </c>
      <c r="T140" s="197">
        <f>11.6*2.53</f>
        <v>29.347999999999995</v>
      </c>
      <c r="U140" s="197">
        <f>1.49*2.655+0.9*2.1</f>
        <v>5.8459500000000002</v>
      </c>
      <c r="X140" s="197">
        <f>0.9*2.1+1*2.1+0.9*2.1+0.9*2.1</f>
        <v>7.7700000000000014</v>
      </c>
      <c r="AL140" s="197">
        <f>N140*H140/1000-T140</f>
        <v>17.602</v>
      </c>
      <c r="AM140" s="197">
        <f>O140*H140/1000-U140</f>
        <v>43.414050000000003</v>
      </c>
      <c r="AP140" s="197">
        <f>P140*H140/1000-V140</f>
        <v>36.000000000000007</v>
      </c>
      <c r="AS140" s="197">
        <f>Q140*H140/1000-W140</f>
        <v>3.6</v>
      </c>
      <c r="AT140" s="197">
        <f>R140*H140/1000-X140</f>
        <v>77.279999999999973</v>
      </c>
    </row>
    <row r="141" spans="1:46" ht="30" x14ac:dyDescent="0.2">
      <c r="A141" s="197">
        <v>160</v>
      </c>
      <c r="B141" s="197" t="s">
        <v>116</v>
      </c>
      <c r="C141" s="197" t="s">
        <v>113</v>
      </c>
      <c r="D141" s="265" t="s">
        <v>210</v>
      </c>
      <c r="E141" s="243" t="s">
        <v>1341</v>
      </c>
      <c r="F141" s="267">
        <v>114.7</v>
      </c>
      <c r="G141" s="267"/>
      <c r="H141" s="246">
        <v>3000</v>
      </c>
      <c r="I141" s="246" t="s">
        <v>1340</v>
      </c>
      <c r="J141" s="246" t="s">
        <v>54</v>
      </c>
      <c r="K141" s="246" t="s">
        <v>1342</v>
      </c>
      <c r="L141" s="243"/>
    </row>
    <row r="142" spans="1:46" x14ac:dyDescent="0.2">
      <c r="A142" s="239">
        <v>161</v>
      </c>
      <c r="B142" s="197" t="s">
        <v>116</v>
      </c>
      <c r="C142" s="197" t="s">
        <v>113</v>
      </c>
      <c r="D142" s="246" t="s">
        <v>628</v>
      </c>
      <c r="E142" s="243" t="s">
        <v>629</v>
      </c>
      <c r="F142" s="259">
        <v>7.25</v>
      </c>
      <c r="G142" s="251" t="e">
        <f t="shared" ref="G142:G150" si="10">H142/1000</f>
        <v>#VALUE!</v>
      </c>
      <c r="H142" s="242" t="s">
        <v>9</v>
      </c>
      <c r="I142" s="242" t="s">
        <v>9</v>
      </c>
      <c r="J142" s="246" t="s">
        <v>8</v>
      </c>
      <c r="K142" s="246" t="s">
        <v>630</v>
      </c>
      <c r="L142" s="243"/>
    </row>
    <row r="143" spans="1:46" x14ac:dyDescent="0.2">
      <c r="A143" s="239">
        <v>162</v>
      </c>
      <c r="B143" s="197" t="s">
        <v>116</v>
      </c>
      <c r="C143" s="197" t="s">
        <v>113</v>
      </c>
      <c r="D143" s="246" t="s">
        <v>1128</v>
      </c>
      <c r="E143" s="243" t="s">
        <v>1129</v>
      </c>
      <c r="F143" s="259">
        <v>26.9</v>
      </c>
      <c r="G143" s="251">
        <f t="shared" si="10"/>
        <v>2.61</v>
      </c>
      <c r="H143" s="260">
        <v>2610</v>
      </c>
      <c r="I143" s="266" t="s">
        <v>56</v>
      </c>
      <c r="J143" s="246" t="s">
        <v>36</v>
      </c>
      <c r="K143" s="246" t="s">
        <v>1098</v>
      </c>
      <c r="L143" s="243"/>
      <c r="M143" s="197">
        <f>32.9-2.115</f>
        <v>30.784999999999997</v>
      </c>
      <c r="N143" s="197">
        <v>2.4</v>
      </c>
      <c r="O143" s="197">
        <f>M143-N143</f>
        <v>28.384999999999998</v>
      </c>
      <c r="T143" s="197">
        <f>1.3*2.1</f>
        <v>2.7300000000000004</v>
      </c>
      <c r="U143" s="197">
        <f>1.8*2.1</f>
        <v>3.7800000000000002</v>
      </c>
      <c r="AM143" s="197">
        <f>N143*G143-T143</f>
        <v>3.5339999999999989</v>
      </c>
      <c r="AP143" s="197">
        <f>O143*G143-U143</f>
        <v>70.304849999999988</v>
      </c>
    </row>
    <row r="144" spans="1:46" x14ac:dyDescent="0.2">
      <c r="A144" s="197">
        <v>163</v>
      </c>
      <c r="B144" s="197" t="s">
        <v>116</v>
      </c>
      <c r="C144" s="197" t="s">
        <v>113</v>
      </c>
      <c r="D144" s="246" t="s">
        <v>1096</v>
      </c>
      <c r="E144" s="243" t="s">
        <v>1097</v>
      </c>
      <c r="F144" s="259">
        <v>11.5</v>
      </c>
      <c r="G144" s="251">
        <f t="shared" si="10"/>
        <v>2.61</v>
      </c>
      <c r="H144" s="262">
        <v>2610</v>
      </c>
      <c r="I144" s="266" t="s">
        <v>57</v>
      </c>
      <c r="J144" s="246" t="s">
        <v>51</v>
      </c>
      <c r="K144" s="246" t="s">
        <v>1098</v>
      </c>
      <c r="L144" s="243"/>
      <c r="M144" s="197">
        <v>13.6</v>
      </c>
      <c r="N144" s="197">
        <f>M144/2</f>
        <v>6.8</v>
      </c>
      <c r="O144" s="197">
        <f>M144/2</f>
        <v>6.8</v>
      </c>
      <c r="U144" s="197">
        <f>1*2.1+0.8*2.1</f>
        <v>3.7800000000000002</v>
      </c>
      <c r="AH144" s="197">
        <f>N144*G144-T144</f>
        <v>17.747999999999998</v>
      </c>
      <c r="AR144" s="197">
        <f>O144*G144-U144</f>
        <v>13.967999999999996</v>
      </c>
    </row>
    <row r="145" spans="1:49" x14ac:dyDescent="0.2">
      <c r="A145" s="239">
        <v>164</v>
      </c>
      <c r="B145" s="197" t="s">
        <v>116</v>
      </c>
      <c r="C145" s="197" t="s">
        <v>113</v>
      </c>
      <c r="D145" s="246" t="s">
        <v>1099</v>
      </c>
      <c r="E145" s="243" t="s">
        <v>1100</v>
      </c>
      <c r="F145" s="259">
        <v>4.4000000000000004</v>
      </c>
      <c r="G145" s="251">
        <f t="shared" si="10"/>
        <v>2.4</v>
      </c>
      <c r="H145" s="260">
        <v>2400</v>
      </c>
      <c r="I145" s="261" t="s">
        <v>57</v>
      </c>
      <c r="J145" s="246" t="s">
        <v>51</v>
      </c>
      <c r="K145" s="246" t="s">
        <v>1101</v>
      </c>
      <c r="L145" s="243"/>
      <c r="M145" s="197">
        <v>10.8</v>
      </c>
      <c r="N145" s="197">
        <v>0.4</v>
      </c>
      <c r="O145" s="197">
        <f>M145-N145</f>
        <v>10.4</v>
      </c>
      <c r="U145" s="197">
        <f>0.8*2.1+1.95*2.1</f>
        <v>5.7750000000000004</v>
      </c>
      <c r="AH145" s="197">
        <f>N145*G145-T145</f>
        <v>0.96</v>
      </c>
      <c r="AR145" s="197">
        <f>O145*G145-U145</f>
        <v>19.185000000000002</v>
      </c>
    </row>
    <row r="146" spans="1:49" x14ac:dyDescent="0.2">
      <c r="A146" s="239">
        <v>165</v>
      </c>
      <c r="B146" s="197" t="s">
        <v>116</v>
      </c>
      <c r="C146" s="197" t="s">
        <v>113</v>
      </c>
      <c r="D146" s="246" t="s">
        <v>1102</v>
      </c>
      <c r="E146" s="243" t="s">
        <v>1103</v>
      </c>
      <c r="F146" s="259">
        <v>2</v>
      </c>
      <c r="G146" s="251">
        <f t="shared" si="10"/>
        <v>2.4</v>
      </c>
      <c r="H146" s="260">
        <v>2400</v>
      </c>
      <c r="I146" s="266" t="s">
        <v>57</v>
      </c>
      <c r="J146" s="246" t="s">
        <v>52</v>
      </c>
      <c r="K146" s="246" t="s">
        <v>1098</v>
      </c>
      <c r="L146" s="243"/>
      <c r="M146" s="197">
        <v>5.8</v>
      </c>
      <c r="N146" s="197">
        <f>M146</f>
        <v>5.8</v>
      </c>
      <c r="T146" s="197">
        <f>1.95*2.1</f>
        <v>4.0949999999999998</v>
      </c>
      <c r="AR146" s="197">
        <f>N146*G146-T146</f>
        <v>9.8249999999999993</v>
      </c>
    </row>
    <row r="147" spans="1:49" x14ac:dyDescent="0.2">
      <c r="A147" s="197">
        <v>166</v>
      </c>
      <c r="B147" s="197" t="s">
        <v>116</v>
      </c>
      <c r="C147" s="197" t="s">
        <v>113</v>
      </c>
      <c r="D147" s="246" t="s">
        <v>1104</v>
      </c>
      <c r="E147" s="243" t="s">
        <v>1105</v>
      </c>
      <c r="F147" s="259">
        <v>10.3</v>
      </c>
      <c r="G147" s="251">
        <f t="shared" si="10"/>
        <v>2.61</v>
      </c>
      <c r="H147" s="262">
        <v>2610</v>
      </c>
      <c r="I147" s="266" t="s">
        <v>57</v>
      </c>
      <c r="J147" s="246" t="s">
        <v>51</v>
      </c>
      <c r="K147" s="246" t="s">
        <v>1098</v>
      </c>
      <c r="L147" s="243"/>
      <c r="M147" s="197">
        <v>12.8</v>
      </c>
      <c r="N147" s="197">
        <v>3</v>
      </c>
      <c r="O147" s="197">
        <f>M147-N147</f>
        <v>9.8000000000000007</v>
      </c>
      <c r="U147" s="197">
        <f>0.8*2.1+1*2.1</f>
        <v>3.7800000000000002</v>
      </c>
      <c r="AH147" s="197">
        <f>N147*G147-T147</f>
        <v>7.83</v>
      </c>
      <c r="AR147" s="197">
        <f>O147*G147-U147</f>
        <v>21.797999999999998</v>
      </c>
    </row>
    <row r="148" spans="1:49" x14ac:dyDescent="0.2">
      <c r="A148" s="239">
        <v>167</v>
      </c>
      <c r="B148" s="197" t="s">
        <v>116</v>
      </c>
      <c r="C148" s="197" t="s">
        <v>113</v>
      </c>
      <c r="D148" s="246" t="s">
        <v>1106</v>
      </c>
      <c r="E148" s="243" t="s">
        <v>1107</v>
      </c>
      <c r="F148" s="259">
        <v>4.4000000000000004</v>
      </c>
      <c r="G148" s="251">
        <f t="shared" si="10"/>
        <v>2.4</v>
      </c>
      <c r="H148" s="260">
        <v>2400</v>
      </c>
      <c r="I148" s="261" t="s">
        <v>57</v>
      </c>
      <c r="J148" s="246" t="s">
        <v>52</v>
      </c>
      <c r="K148" s="246" t="s">
        <v>1101</v>
      </c>
      <c r="L148" s="243"/>
      <c r="M148" s="197">
        <v>10.8</v>
      </c>
      <c r="N148" s="197">
        <v>0.4</v>
      </c>
      <c r="O148" s="197">
        <f>M148-N148</f>
        <v>10.4</v>
      </c>
      <c r="U148" s="197">
        <f>0.8*2.1+1.95*2.1</f>
        <v>5.7750000000000004</v>
      </c>
      <c r="AR148" s="197">
        <f>N148*G148-T148</f>
        <v>0.96</v>
      </c>
    </row>
    <row r="149" spans="1:49" x14ac:dyDescent="0.2">
      <c r="A149" s="239">
        <v>168</v>
      </c>
      <c r="B149" s="197" t="s">
        <v>116</v>
      </c>
      <c r="C149" s="197" t="s">
        <v>113</v>
      </c>
      <c r="D149" s="246" t="s">
        <v>1108</v>
      </c>
      <c r="E149" s="243" t="s">
        <v>1109</v>
      </c>
      <c r="F149" s="259">
        <v>2</v>
      </c>
      <c r="G149" s="251">
        <f t="shared" si="10"/>
        <v>2.4</v>
      </c>
      <c r="H149" s="260">
        <v>2400</v>
      </c>
      <c r="I149" s="261" t="s">
        <v>57</v>
      </c>
      <c r="J149" s="246" t="s">
        <v>52</v>
      </c>
      <c r="K149" s="246" t="s">
        <v>1098</v>
      </c>
      <c r="L149" s="243"/>
      <c r="M149" s="197">
        <v>5.8</v>
      </c>
      <c r="N149" s="197">
        <f>M149</f>
        <v>5.8</v>
      </c>
      <c r="T149" s="197">
        <f>1.95*2.1</f>
        <v>4.0949999999999998</v>
      </c>
      <c r="AR149" s="197">
        <f>N149*G149-T149</f>
        <v>9.8249999999999993</v>
      </c>
    </row>
    <row r="150" spans="1:49" x14ac:dyDescent="0.2">
      <c r="A150" s="197">
        <v>169</v>
      </c>
      <c r="B150" s="197" t="s">
        <v>116</v>
      </c>
      <c r="C150" s="197" t="s">
        <v>113</v>
      </c>
      <c r="D150" s="246" t="s">
        <v>631</v>
      </c>
      <c r="E150" s="243" t="s">
        <v>632</v>
      </c>
      <c r="F150" s="259">
        <v>22.2</v>
      </c>
      <c r="G150" s="251">
        <f t="shared" si="10"/>
        <v>3.64</v>
      </c>
      <c r="H150" s="242">
        <v>3640</v>
      </c>
      <c r="I150" s="266" t="s">
        <v>9</v>
      </c>
      <c r="J150" s="246" t="s">
        <v>59</v>
      </c>
      <c r="K150" s="246" t="s">
        <v>633</v>
      </c>
      <c r="L150" s="243"/>
      <c r="M150" s="197">
        <v>26.75</v>
      </c>
      <c r="N150" s="197">
        <v>11</v>
      </c>
      <c r="O150" s="197">
        <f>M150-N150</f>
        <v>15.75</v>
      </c>
      <c r="AL150" s="197">
        <f>N150*G150-T150</f>
        <v>40.04</v>
      </c>
      <c r="AW150" s="197">
        <f>O150*G150-U150</f>
        <v>57.330000000000005</v>
      </c>
    </row>
    <row r="151" spans="1:49" x14ac:dyDescent="0.2">
      <c r="A151" s="239">
        <v>170</v>
      </c>
      <c r="B151" s="197" t="s">
        <v>116</v>
      </c>
      <c r="C151" s="197" t="s">
        <v>113</v>
      </c>
      <c r="D151" s="246" t="s">
        <v>634</v>
      </c>
      <c r="E151" s="243" t="s">
        <v>635</v>
      </c>
      <c r="F151" s="259">
        <v>4.05</v>
      </c>
      <c r="G151" s="259"/>
      <c r="H151" s="242">
        <v>3600</v>
      </c>
      <c r="I151" s="266" t="s">
        <v>9</v>
      </c>
      <c r="J151" s="246" t="s">
        <v>47</v>
      </c>
      <c r="K151" s="266" t="s">
        <v>20</v>
      </c>
      <c r="L151" s="243"/>
      <c r="M151" s="197">
        <f>2.4+2.1+0.2*2+0.8*2</f>
        <v>6.5</v>
      </c>
      <c r="N151" s="197">
        <v>6.5</v>
      </c>
      <c r="AL151" s="197">
        <f>N151*H151/1000</f>
        <v>23.4</v>
      </c>
    </row>
    <row r="152" spans="1:49" ht="45" x14ac:dyDescent="0.2">
      <c r="A152" s="239">
        <v>171</v>
      </c>
      <c r="B152" s="197" t="s">
        <v>116</v>
      </c>
      <c r="C152" s="197" t="s">
        <v>113</v>
      </c>
      <c r="D152" s="265" t="s">
        <v>285</v>
      </c>
      <c r="E152" s="243" t="s">
        <v>1336</v>
      </c>
      <c r="F152" s="267">
        <v>161.65</v>
      </c>
      <c r="G152" s="251">
        <f t="shared" ref="G152:G186" si="11">H152/1000</f>
        <v>2.61</v>
      </c>
      <c r="H152" s="260">
        <v>2610</v>
      </c>
      <c r="I152" s="246" t="s">
        <v>1337</v>
      </c>
      <c r="J152" s="246" t="s">
        <v>282</v>
      </c>
      <c r="K152" s="246" t="s">
        <v>1338</v>
      </c>
      <c r="L152" s="243" t="s">
        <v>61</v>
      </c>
      <c r="M152" s="197">
        <f>91.15+6.9+7.7+1.72*2+2+3.95*2</f>
        <v>119.09000000000002</v>
      </c>
      <c r="N152" s="197">
        <f>0.8*2+0.65+0.6+0.3+0.15+0.8+0.2+0.2+5.2+1.7*2+2+0.6</f>
        <v>15.7</v>
      </c>
      <c r="O152" s="197">
        <f>3.95+2.25</f>
        <v>6.2</v>
      </c>
      <c r="P152" s="197">
        <f>1.5+4.5+3.95+5.1</f>
        <v>15.049999999999999</v>
      </c>
      <c r="Q152" s="197">
        <f>M152-N152-O152-P152</f>
        <v>82.140000000000015</v>
      </c>
      <c r="W152" s="197">
        <f>1*2.1+1.2*2.1+0.9*2.1+1.665*2.1</f>
        <v>10.006499999999999</v>
      </c>
      <c r="AH152" s="197">
        <f>N152*G152-T152</f>
        <v>40.976999999999997</v>
      </c>
      <c r="AL152" s="197">
        <f>O152*G152-U152</f>
        <v>16.181999999999999</v>
      </c>
      <c r="AP152" s="197">
        <f>P152*G152-V152</f>
        <v>39.280499999999996</v>
      </c>
      <c r="AR152" s="197">
        <f>Q152*G152-W152</f>
        <v>204.37890000000004</v>
      </c>
    </row>
    <row r="153" spans="1:49" x14ac:dyDescent="0.2">
      <c r="A153" s="197">
        <v>172</v>
      </c>
      <c r="B153" s="197" t="s">
        <v>116</v>
      </c>
      <c r="C153" s="197" t="s">
        <v>113</v>
      </c>
      <c r="D153" s="246" t="s">
        <v>1308</v>
      </c>
      <c r="E153" s="243" t="s">
        <v>1309</v>
      </c>
      <c r="F153" s="267">
        <v>14.1</v>
      </c>
      <c r="G153" s="251">
        <f t="shared" si="11"/>
        <v>2.61</v>
      </c>
      <c r="H153" s="262">
        <v>2610</v>
      </c>
      <c r="I153" s="261" t="s">
        <v>62</v>
      </c>
      <c r="J153" s="246" t="s">
        <v>63</v>
      </c>
      <c r="K153" s="246" t="s">
        <v>1112</v>
      </c>
      <c r="L153" s="243"/>
      <c r="M153" s="197">
        <f>19.2+2</f>
        <v>21.2</v>
      </c>
      <c r="N153" s="197">
        <f>2.5+0.6+2</f>
        <v>5.0999999999999996</v>
      </c>
      <c r="O153" s="197">
        <f>M153-N153</f>
        <v>16.100000000000001</v>
      </c>
      <c r="T153" s="197">
        <f>0.9*2.1</f>
        <v>1.8900000000000001</v>
      </c>
      <c r="AL153" s="197">
        <f>N153*G153-T153</f>
        <v>11.420999999999998</v>
      </c>
      <c r="AP153" s="197">
        <f>O153*G153-U153</f>
        <v>42.021000000000001</v>
      </c>
    </row>
    <row r="154" spans="1:49" ht="45" x14ac:dyDescent="0.2">
      <c r="A154" s="239">
        <v>173</v>
      </c>
      <c r="B154" s="197" t="s">
        <v>116</v>
      </c>
      <c r="C154" s="197" t="s">
        <v>113</v>
      </c>
      <c r="D154" s="265" t="s">
        <v>286</v>
      </c>
      <c r="E154" s="243" t="s">
        <v>1219</v>
      </c>
      <c r="F154" s="267">
        <v>11.6</v>
      </c>
      <c r="G154" s="251">
        <f t="shared" si="11"/>
        <v>2.61</v>
      </c>
      <c r="H154" s="260">
        <v>2610</v>
      </c>
      <c r="I154" s="246" t="s">
        <v>1216</v>
      </c>
      <c r="J154" s="246" t="s">
        <v>51</v>
      </c>
      <c r="K154" s="246" t="s">
        <v>1220</v>
      </c>
      <c r="L154" s="243" t="s">
        <v>61</v>
      </c>
      <c r="AH154" s="197">
        <f>N154*G154-T154</f>
        <v>0</v>
      </c>
      <c r="AR154" s="197">
        <f>O154*G154-U154</f>
        <v>0</v>
      </c>
    </row>
    <row r="155" spans="1:49" ht="45" x14ac:dyDescent="0.2">
      <c r="A155" s="239">
        <v>174</v>
      </c>
      <c r="B155" s="197" t="s">
        <v>116</v>
      </c>
      <c r="C155" s="197" t="s">
        <v>113</v>
      </c>
      <c r="D155" s="246" t="s">
        <v>1221</v>
      </c>
      <c r="E155" s="243" t="s">
        <v>1222</v>
      </c>
      <c r="F155" s="267">
        <v>17.649999999999999</v>
      </c>
      <c r="G155" s="251">
        <f t="shared" si="11"/>
        <v>2.61</v>
      </c>
      <c r="H155" s="260">
        <v>2610</v>
      </c>
      <c r="I155" s="246" t="s">
        <v>1216</v>
      </c>
      <c r="J155" s="246" t="s">
        <v>51</v>
      </c>
      <c r="K155" s="246" t="s">
        <v>1098</v>
      </c>
      <c r="L155" s="243" t="s">
        <v>61</v>
      </c>
      <c r="M155" s="197">
        <v>17</v>
      </c>
      <c r="N155" s="197">
        <f>M155/2</f>
        <v>8.5</v>
      </c>
      <c r="O155" s="197">
        <f>M155/2</f>
        <v>8.5</v>
      </c>
      <c r="U155" s="197">
        <f>1*2.1</f>
        <v>2.1</v>
      </c>
      <c r="AH155" s="197">
        <f>N155*G155-T155</f>
        <v>22.184999999999999</v>
      </c>
      <c r="AR155" s="197">
        <f>O155*G155-U155</f>
        <v>20.084999999999997</v>
      </c>
    </row>
    <row r="156" spans="1:49" x14ac:dyDescent="0.2">
      <c r="A156" s="197">
        <v>175</v>
      </c>
      <c r="B156" s="197" t="s">
        <v>116</v>
      </c>
      <c r="C156" s="197" t="s">
        <v>113</v>
      </c>
      <c r="D156" s="265" t="s">
        <v>283</v>
      </c>
      <c r="E156" s="243" t="s">
        <v>1138</v>
      </c>
      <c r="F156" s="259">
        <v>8.65</v>
      </c>
      <c r="G156" s="251">
        <f t="shared" si="11"/>
        <v>2.61</v>
      </c>
      <c r="H156" s="262">
        <v>2610</v>
      </c>
      <c r="I156" s="266" t="s">
        <v>64</v>
      </c>
      <c r="J156" s="246" t="s">
        <v>63</v>
      </c>
      <c r="K156" s="246" t="s">
        <v>1156</v>
      </c>
      <c r="L156" s="243"/>
      <c r="AL156" s="197">
        <f>N156*G156-T156</f>
        <v>0</v>
      </c>
      <c r="AP156" s="197">
        <f>O156*G156-U156</f>
        <v>0</v>
      </c>
    </row>
    <row r="157" spans="1:49" ht="30" x14ac:dyDescent="0.2">
      <c r="A157" s="239">
        <v>176</v>
      </c>
      <c r="B157" s="197" t="s">
        <v>116</v>
      </c>
      <c r="C157" s="197" t="s">
        <v>113</v>
      </c>
      <c r="D157" s="246" t="s">
        <v>1157</v>
      </c>
      <c r="E157" s="243" t="s">
        <v>1158</v>
      </c>
      <c r="F157" s="259">
        <v>7</v>
      </c>
      <c r="G157" s="251">
        <f t="shared" si="11"/>
        <v>2.61</v>
      </c>
      <c r="H157" s="260">
        <v>2610</v>
      </c>
      <c r="I157" s="266" t="s">
        <v>64</v>
      </c>
      <c r="J157" s="246" t="s">
        <v>36</v>
      </c>
      <c r="K157" s="246" t="s">
        <v>1112</v>
      </c>
      <c r="L157" s="243"/>
      <c r="M157" s="197">
        <f>3.8*2+1.85*2</f>
        <v>11.3</v>
      </c>
      <c r="N157" s="197">
        <v>1.85</v>
      </c>
      <c r="O157" s="197">
        <f>M157-N157</f>
        <v>9.4500000000000011</v>
      </c>
      <c r="U157" s="197">
        <f>1.85*2.1</f>
        <v>3.8850000000000002</v>
      </c>
      <c r="AM157" s="197">
        <f>N157*G157-T157</f>
        <v>4.8285</v>
      </c>
      <c r="AP157" s="197">
        <f>O157*G157-U157</f>
        <v>20.779499999999999</v>
      </c>
    </row>
    <row r="158" spans="1:49" ht="45" x14ac:dyDescent="0.2">
      <c r="A158" s="239">
        <v>177</v>
      </c>
      <c r="B158" s="197" t="s">
        <v>116</v>
      </c>
      <c r="C158" s="197" t="s">
        <v>113</v>
      </c>
      <c r="D158" s="246" t="s">
        <v>1223</v>
      </c>
      <c r="E158" s="243" t="s">
        <v>1224</v>
      </c>
      <c r="F158" s="259">
        <v>25.3</v>
      </c>
      <c r="G158" s="251">
        <f t="shared" si="11"/>
        <v>2.61</v>
      </c>
      <c r="H158" s="262">
        <v>2610</v>
      </c>
      <c r="I158" s="246" t="s">
        <v>1216</v>
      </c>
      <c r="J158" s="246" t="s">
        <v>51</v>
      </c>
      <c r="K158" s="246" t="s">
        <v>1098</v>
      </c>
      <c r="L158" s="243" t="s">
        <v>61</v>
      </c>
      <c r="M158" s="197">
        <f>21.1-2.15+0.4*2</f>
        <v>19.750000000000004</v>
      </c>
      <c r="N158" s="197">
        <f>6.7+0.4*2</f>
        <v>7.5</v>
      </c>
      <c r="O158" s="197">
        <f>M158-N158</f>
        <v>12.250000000000004</v>
      </c>
      <c r="U158" s="197">
        <f>0.9*2.1</f>
        <v>1.8900000000000001</v>
      </c>
      <c r="AH158" s="197">
        <f>N158*G158-T158</f>
        <v>19.574999999999999</v>
      </c>
      <c r="AR158" s="197">
        <f>O158*G158-U158</f>
        <v>30.082500000000007</v>
      </c>
    </row>
    <row r="159" spans="1:49" ht="45" x14ac:dyDescent="0.2">
      <c r="A159" s="197">
        <v>178</v>
      </c>
      <c r="B159" s="197" t="s">
        <v>116</v>
      </c>
      <c r="C159" s="197" t="s">
        <v>113</v>
      </c>
      <c r="D159" s="246" t="s">
        <v>1225</v>
      </c>
      <c r="E159" s="243" t="s">
        <v>1226</v>
      </c>
      <c r="F159" s="267">
        <v>17.95</v>
      </c>
      <c r="G159" s="251">
        <f t="shared" si="11"/>
        <v>2.61</v>
      </c>
      <c r="H159" s="262">
        <v>2610</v>
      </c>
      <c r="I159" s="246" t="s">
        <v>1216</v>
      </c>
      <c r="J159" s="246" t="s">
        <v>51</v>
      </c>
      <c r="K159" s="246" t="s">
        <v>1112</v>
      </c>
      <c r="L159" s="243" t="s">
        <v>61</v>
      </c>
      <c r="M159" s="197">
        <f>20.7-0.95</f>
        <v>19.75</v>
      </c>
      <c r="N159" s="197">
        <f>2.5+6.15+0.4*2</f>
        <v>9.4500000000000011</v>
      </c>
      <c r="O159" s="197">
        <f>M159-N159</f>
        <v>10.299999999999999</v>
      </c>
      <c r="U159" s="197">
        <f>0.9*2.1</f>
        <v>1.8900000000000001</v>
      </c>
      <c r="AH159" s="197">
        <f>N159*G159-T159</f>
        <v>24.6645</v>
      </c>
      <c r="AR159" s="197">
        <f>O159*G159-U159</f>
        <v>24.992999999999995</v>
      </c>
    </row>
    <row r="160" spans="1:49" ht="45" x14ac:dyDescent="0.2">
      <c r="A160" s="239">
        <v>179</v>
      </c>
      <c r="B160" s="197" t="s">
        <v>116</v>
      </c>
      <c r="C160" s="197" t="s">
        <v>113</v>
      </c>
      <c r="D160" s="265" t="s">
        <v>287</v>
      </c>
      <c r="E160" s="243" t="s">
        <v>1311</v>
      </c>
      <c r="F160" s="259">
        <v>22.25</v>
      </c>
      <c r="G160" s="251">
        <f t="shared" si="11"/>
        <v>2.61</v>
      </c>
      <c r="H160" s="260">
        <v>2610</v>
      </c>
      <c r="I160" s="246" t="s">
        <v>1312</v>
      </c>
      <c r="J160" s="246" t="s">
        <v>282</v>
      </c>
      <c r="K160" s="246" t="s">
        <v>1098</v>
      </c>
      <c r="L160" s="243" t="s">
        <v>61</v>
      </c>
      <c r="M160" s="197">
        <f>30.65-0.95-2.6</f>
        <v>27.099999999999998</v>
      </c>
      <c r="N160" s="197">
        <f>3.15+0.65</f>
        <v>3.8</v>
      </c>
      <c r="O160" s="197">
        <f>0.4+5.3</f>
        <v>5.7</v>
      </c>
      <c r="P160" s="197">
        <f>M160-N160-O160-Q160</f>
        <v>8.9999999999999982</v>
      </c>
      <c r="Q160" s="197">
        <f>3+2.8+2.8</f>
        <v>8.6</v>
      </c>
      <c r="V160" s="197">
        <f>1*2.1</f>
        <v>2.1</v>
      </c>
      <c r="AH160" s="197">
        <f>N160*G160-T160</f>
        <v>9.9179999999999993</v>
      </c>
      <c r="AL160" s="197">
        <f>O160*G160-U160</f>
        <v>14.876999999999999</v>
      </c>
      <c r="AP160" s="197">
        <f>P160*G160-V160</f>
        <v>21.389999999999993</v>
      </c>
      <c r="AR160" s="197">
        <f>Q160*G160-W160</f>
        <v>22.445999999999998</v>
      </c>
    </row>
    <row r="161" spans="1:50" x14ac:dyDescent="0.2">
      <c r="A161" s="239">
        <v>180</v>
      </c>
      <c r="B161" s="197" t="s">
        <v>116</v>
      </c>
      <c r="C161" s="197" t="s">
        <v>113</v>
      </c>
      <c r="D161" s="265" t="s">
        <v>288</v>
      </c>
      <c r="E161" s="243" t="s">
        <v>1160</v>
      </c>
      <c r="F161" s="259">
        <v>5.5</v>
      </c>
      <c r="G161" s="251">
        <f t="shared" si="11"/>
        <v>2.61</v>
      </c>
      <c r="H161" s="260">
        <v>2610</v>
      </c>
      <c r="I161" s="266" t="s">
        <v>64</v>
      </c>
      <c r="J161" s="246" t="s">
        <v>34</v>
      </c>
      <c r="K161" s="246" t="s">
        <v>1098</v>
      </c>
      <c r="L161" s="243"/>
      <c r="AP161" s="197">
        <f>N161*G161-T161</f>
        <v>0</v>
      </c>
    </row>
    <row r="162" spans="1:50" x14ac:dyDescent="0.2">
      <c r="A162" s="197">
        <v>181</v>
      </c>
      <c r="B162" s="197" t="s">
        <v>116</v>
      </c>
      <c r="C162" s="197" t="s">
        <v>113</v>
      </c>
      <c r="D162" s="265" t="s">
        <v>289</v>
      </c>
      <c r="E162" s="243" t="s">
        <v>1162</v>
      </c>
      <c r="F162" s="259">
        <v>4.8</v>
      </c>
      <c r="G162" s="251">
        <f t="shared" si="11"/>
        <v>2.61</v>
      </c>
      <c r="H162" s="262">
        <v>2610</v>
      </c>
      <c r="I162" s="266" t="s">
        <v>64</v>
      </c>
      <c r="J162" s="246" t="s">
        <v>63</v>
      </c>
      <c r="K162" s="246" t="s">
        <v>1112</v>
      </c>
      <c r="L162" s="243"/>
      <c r="AL162" s="197">
        <f>N162*G162-T162</f>
        <v>0</v>
      </c>
      <c r="AP162" s="197">
        <f>O162*G162-U162</f>
        <v>0</v>
      </c>
    </row>
    <row r="163" spans="1:50" ht="30" x14ac:dyDescent="0.2">
      <c r="A163" s="239">
        <v>182</v>
      </c>
      <c r="B163" s="197" t="s">
        <v>116</v>
      </c>
      <c r="C163" s="197" t="s">
        <v>113</v>
      </c>
      <c r="D163" s="265" t="s">
        <v>290</v>
      </c>
      <c r="E163" s="243" t="s">
        <v>1138</v>
      </c>
      <c r="F163" s="259">
        <v>9.25</v>
      </c>
      <c r="G163" s="251">
        <f t="shared" si="11"/>
        <v>2.61</v>
      </c>
      <c r="H163" s="260">
        <v>2610</v>
      </c>
      <c r="I163" s="261" t="s">
        <v>62</v>
      </c>
      <c r="J163" s="246" t="s">
        <v>66</v>
      </c>
      <c r="K163" s="246" t="s">
        <v>1112</v>
      </c>
      <c r="L163" s="243"/>
      <c r="M163" s="197">
        <f>16.2-3.1</f>
        <v>13.1</v>
      </c>
      <c r="N163" s="197">
        <f>2.3+0.4</f>
        <v>2.6999999999999997</v>
      </c>
      <c r="O163" s="197">
        <f>1.85</f>
        <v>1.85</v>
      </c>
      <c r="P163" s="197">
        <f>M163-N163-O163</f>
        <v>8.5500000000000007</v>
      </c>
      <c r="AL163" s="197">
        <f>N163*G163-T163</f>
        <v>7.0469999999999988</v>
      </c>
      <c r="AP163" s="197">
        <f>O163*G163-U163</f>
        <v>4.8285</v>
      </c>
      <c r="AX163" s="197">
        <f>P163*G163-V163</f>
        <v>22.3155</v>
      </c>
    </row>
    <row r="164" spans="1:50" x14ac:dyDescent="0.2">
      <c r="A164" s="239">
        <v>183</v>
      </c>
      <c r="B164" s="197" t="s">
        <v>116</v>
      </c>
      <c r="C164" s="197" t="s">
        <v>113</v>
      </c>
      <c r="D164" s="265" t="s">
        <v>291</v>
      </c>
      <c r="E164" s="243" t="s">
        <v>1138</v>
      </c>
      <c r="F164" s="263">
        <v>3.75</v>
      </c>
      <c r="G164" s="251">
        <f t="shared" si="11"/>
        <v>2.61</v>
      </c>
      <c r="H164" s="262">
        <v>2610</v>
      </c>
      <c r="I164" s="266" t="s">
        <v>64</v>
      </c>
      <c r="J164" s="246" t="s">
        <v>34</v>
      </c>
      <c r="K164" s="246" t="s">
        <v>1112</v>
      </c>
      <c r="L164" s="243"/>
      <c r="AP164" s="197">
        <f>N164*G164-T164</f>
        <v>0</v>
      </c>
    </row>
    <row r="165" spans="1:50" x14ac:dyDescent="0.2">
      <c r="A165" s="197">
        <v>184</v>
      </c>
      <c r="B165" s="197" t="s">
        <v>116</v>
      </c>
      <c r="C165" s="197" t="s">
        <v>113</v>
      </c>
      <c r="D165" s="265" t="s">
        <v>292</v>
      </c>
      <c r="E165" s="243" t="s">
        <v>1138</v>
      </c>
      <c r="F165" s="263">
        <v>3.2</v>
      </c>
      <c r="G165" s="251">
        <f t="shared" si="11"/>
        <v>2.61</v>
      </c>
      <c r="H165" s="262">
        <v>2610</v>
      </c>
      <c r="I165" s="266" t="s">
        <v>64</v>
      </c>
      <c r="J165" s="246" t="s">
        <v>63</v>
      </c>
      <c r="K165" s="246" t="s">
        <v>1112</v>
      </c>
      <c r="L165" s="243"/>
      <c r="AL165" s="197">
        <f>N165*G165-T165</f>
        <v>0</v>
      </c>
      <c r="AP165" s="197">
        <f>O165*G165-U165</f>
        <v>0</v>
      </c>
    </row>
    <row r="166" spans="1:50" ht="30" x14ac:dyDescent="0.2">
      <c r="A166" s="239">
        <v>185</v>
      </c>
      <c r="B166" s="197" t="s">
        <v>116</v>
      </c>
      <c r="C166" s="197" t="s">
        <v>113</v>
      </c>
      <c r="D166" s="265" t="s">
        <v>293</v>
      </c>
      <c r="E166" s="243" t="s">
        <v>1136</v>
      </c>
      <c r="F166" s="259">
        <v>9.9</v>
      </c>
      <c r="G166" s="251">
        <f t="shared" si="11"/>
        <v>2.61</v>
      </c>
      <c r="H166" s="260">
        <v>2610</v>
      </c>
      <c r="I166" s="266" t="s">
        <v>67</v>
      </c>
      <c r="J166" s="246" t="s">
        <v>66</v>
      </c>
      <c r="K166" s="246" t="s">
        <v>1112</v>
      </c>
      <c r="L166" s="243"/>
      <c r="M166" s="197">
        <f>19.3-5.3</f>
        <v>14</v>
      </c>
      <c r="N166" s="197">
        <f>0.4*2+0.3</f>
        <v>1.1000000000000001</v>
      </c>
      <c r="O166" s="197">
        <f>M166-N166-P166</f>
        <v>7.870000000000001</v>
      </c>
      <c r="P166" s="197">
        <f>2.3+2.73</f>
        <v>5.0299999999999994</v>
      </c>
      <c r="AL166" s="197">
        <f>N166*G166-T166</f>
        <v>2.871</v>
      </c>
      <c r="AP166" s="197">
        <f>O166*G166-U166</f>
        <v>20.540700000000001</v>
      </c>
      <c r="AX166" s="197">
        <f>P166*G166-V166</f>
        <v>13.128299999999998</v>
      </c>
    </row>
    <row r="167" spans="1:50" x14ac:dyDescent="0.2">
      <c r="A167" s="239">
        <v>186</v>
      </c>
      <c r="B167" s="197" t="s">
        <v>116</v>
      </c>
      <c r="C167" s="197" t="s">
        <v>113</v>
      </c>
      <c r="D167" s="265" t="s">
        <v>294</v>
      </c>
      <c r="E167" s="243" t="s">
        <v>1138</v>
      </c>
      <c r="F167" s="259">
        <v>10.8</v>
      </c>
      <c r="G167" s="251">
        <f t="shared" si="11"/>
        <v>2.61</v>
      </c>
      <c r="H167" s="262">
        <v>2610</v>
      </c>
      <c r="I167" s="266" t="s">
        <v>67</v>
      </c>
      <c r="J167" s="246" t="s">
        <v>66</v>
      </c>
      <c r="K167" s="246" t="s">
        <v>1112</v>
      </c>
      <c r="L167" s="243"/>
      <c r="AL167" s="197">
        <f>N167*G167-T167</f>
        <v>0</v>
      </c>
      <c r="AP167" s="197">
        <f>O167*G167-U167</f>
        <v>0</v>
      </c>
      <c r="AX167" s="197">
        <f>P167*G167-V167</f>
        <v>0</v>
      </c>
    </row>
    <row r="168" spans="1:50" ht="45" x14ac:dyDescent="0.2">
      <c r="A168" s="197">
        <v>187</v>
      </c>
      <c r="B168" s="197" t="s">
        <v>116</v>
      </c>
      <c r="C168" s="197" t="s">
        <v>113</v>
      </c>
      <c r="D168" s="246" t="s">
        <v>1110</v>
      </c>
      <c r="E168" s="243" t="s">
        <v>1111</v>
      </c>
      <c r="F168" s="259">
        <v>2.95</v>
      </c>
      <c r="G168" s="251">
        <f t="shared" si="11"/>
        <v>2.61</v>
      </c>
      <c r="H168" s="260">
        <v>2610</v>
      </c>
      <c r="I168" s="266" t="s">
        <v>57</v>
      </c>
      <c r="J168" s="246" t="s">
        <v>51</v>
      </c>
      <c r="K168" s="246" t="s">
        <v>1112</v>
      </c>
      <c r="L168" s="243" t="s">
        <v>61</v>
      </c>
      <c r="M168" s="197">
        <v>7</v>
      </c>
      <c r="N168" s="197">
        <v>1.6</v>
      </c>
      <c r="O168" s="197">
        <f>M168-N168</f>
        <v>5.4</v>
      </c>
      <c r="U168" s="197">
        <f>0.8*2.1</f>
        <v>1.6800000000000002</v>
      </c>
      <c r="AH168" s="197">
        <f>N168*G168-T168</f>
        <v>4.1760000000000002</v>
      </c>
      <c r="AR168" s="197">
        <f>O168*G168-U168</f>
        <v>12.414</v>
      </c>
    </row>
    <row r="169" spans="1:50" ht="45" x14ac:dyDescent="0.2">
      <c r="A169" s="239">
        <v>188</v>
      </c>
      <c r="B169" s="197" t="s">
        <v>116</v>
      </c>
      <c r="C169" s="197" t="s">
        <v>113</v>
      </c>
      <c r="D169" s="246" t="s">
        <v>1113</v>
      </c>
      <c r="E169" s="243" t="s">
        <v>1114</v>
      </c>
      <c r="F169" s="259">
        <v>3.05</v>
      </c>
      <c r="G169" s="251">
        <f t="shared" si="11"/>
        <v>2.61</v>
      </c>
      <c r="H169" s="260">
        <v>2610</v>
      </c>
      <c r="I169" s="266" t="s">
        <v>57</v>
      </c>
      <c r="J169" s="246" t="s">
        <v>52</v>
      </c>
      <c r="K169" s="246" t="s">
        <v>1112</v>
      </c>
      <c r="L169" s="243" t="s">
        <v>61</v>
      </c>
      <c r="M169" s="197">
        <v>6.9</v>
      </c>
      <c r="N169" s="197">
        <f>M169</f>
        <v>6.9</v>
      </c>
      <c r="T169" s="197">
        <f>1.6*2.6</f>
        <v>4.16</v>
      </c>
      <c r="AR169" s="197">
        <f>N169*G169-T169</f>
        <v>13.849</v>
      </c>
    </row>
    <row r="170" spans="1:50" ht="30" x14ac:dyDescent="0.2">
      <c r="A170" s="239">
        <v>189</v>
      </c>
      <c r="B170" s="197" t="s">
        <v>116</v>
      </c>
      <c r="C170" s="197" t="s">
        <v>113</v>
      </c>
      <c r="D170" s="246" t="s">
        <v>1139</v>
      </c>
      <c r="E170" s="243" t="s">
        <v>1140</v>
      </c>
      <c r="F170" s="263">
        <v>7.9</v>
      </c>
      <c r="G170" s="251">
        <f t="shared" si="11"/>
        <v>2.61</v>
      </c>
      <c r="H170" s="262">
        <v>2610</v>
      </c>
      <c r="I170" s="246" t="s">
        <v>67</v>
      </c>
      <c r="J170" s="246" t="s">
        <v>68</v>
      </c>
      <c r="K170" s="246" t="s">
        <v>1112</v>
      </c>
      <c r="L170" s="243"/>
      <c r="M170" s="197">
        <f>21.65-2.115-1.75</f>
        <v>17.784999999999997</v>
      </c>
      <c r="N170" s="197">
        <v>2.4</v>
      </c>
      <c r="O170" s="197">
        <f>M170-P170-N170</f>
        <v>13.384999999999996</v>
      </c>
      <c r="P170" s="197">
        <v>2</v>
      </c>
      <c r="AM170" s="197">
        <f>N170*G170-T170</f>
        <v>6.2639999999999993</v>
      </c>
      <c r="AP170" s="197">
        <f>O170*G170-U170</f>
        <v>34.93484999999999</v>
      </c>
      <c r="AX170" s="197">
        <f>P170*G170-V170</f>
        <v>5.22</v>
      </c>
    </row>
    <row r="171" spans="1:50" ht="45" x14ac:dyDescent="0.2">
      <c r="A171" s="197">
        <v>190</v>
      </c>
      <c r="B171" s="197" t="s">
        <v>116</v>
      </c>
      <c r="C171" s="197" t="s">
        <v>113</v>
      </c>
      <c r="D171" s="265" t="s">
        <v>295</v>
      </c>
      <c r="E171" s="243" t="s">
        <v>1228</v>
      </c>
      <c r="F171" s="259">
        <v>9.4</v>
      </c>
      <c r="G171" s="251">
        <f t="shared" si="11"/>
        <v>2.61</v>
      </c>
      <c r="H171" s="262">
        <v>2610</v>
      </c>
      <c r="I171" s="246" t="s">
        <v>642</v>
      </c>
      <c r="J171" s="246" t="s">
        <v>51</v>
      </c>
      <c r="K171" s="246" t="s">
        <v>1112</v>
      </c>
      <c r="L171" s="243" t="s">
        <v>61</v>
      </c>
      <c r="M171" s="197">
        <f>36.3+0.95*4</f>
        <v>40.099999999999994</v>
      </c>
      <c r="N171" s="197">
        <f>0.4+0.15+0.6+0.6</f>
        <v>1.75</v>
      </c>
      <c r="O171" s="197">
        <f>M171-N171</f>
        <v>38.349999999999994</v>
      </c>
      <c r="U171" s="197">
        <f>0.8*2.1+1.2*2.1+1*2.1</f>
        <v>6.3000000000000007</v>
      </c>
      <c r="AH171" s="197">
        <f>N171*G171-T171</f>
        <v>4.5674999999999999</v>
      </c>
      <c r="AR171" s="197">
        <f>O171*G171-U171</f>
        <v>93.79349999999998</v>
      </c>
    </row>
    <row r="172" spans="1:50" ht="45" x14ac:dyDescent="0.2">
      <c r="A172" s="239">
        <v>191</v>
      </c>
      <c r="B172" s="197" t="s">
        <v>116</v>
      </c>
      <c r="C172" s="197" t="s">
        <v>113</v>
      </c>
      <c r="D172" s="265" t="s">
        <v>284</v>
      </c>
      <c r="E172" s="243" t="s">
        <v>1230</v>
      </c>
      <c r="F172" s="267">
        <v>16</v>
      </c>
      <c r="G172" s="251">
        <f t="shared" si="11"/>
        <v>2.61</v>
      </c>
      <c r="H172" s="260">
        <v>2610</v>
      </c>
      <c r="I172" s="246" t="s">
        <v>642</v>
      </c>
      <c r="J172" s="246" t="s">
        <v>51</v>
      </c>
      <c r="K172" s="246" t="s">
        <v>1112</v>
      </c>
      <c r="L172" s="243" t="s">
        <v>61</v>
      </c>
      <c r="AH172" s="197">
        <f>N172*G172-T172</f>
        <v>0</v>
      </c>
      <c r="AR172" s="197">
        <f>O172*G172-U172</f>
        <v>0</v>
      </c>
    </row>
    <row r="173" spans="1:50" ht="45" x14ac:dyDescent="0.2">
      <c r="A173" s="239">
        <v>192</v>
      </c>
      <c r="B173" s="197" t="s">
        <v>116</v>
      </c>
      <c r="C173" s="197" t="s">
        <v>113</v>
      </c>
      <c r="D173" s="265" t="s">
        <v>296</v>
      </c>
      <c r="E173" s="243" t="s">
        <v>1232</v>
      </c>
      <c r="F173" s="263">
        <v>30.3</v>
      </c>
      <c r="G173" s="251">
        <f t="shared" si="11"/>
        <v>2.61</v>
      </c>
      <c r="H173" s="262">
        <v>2610</v>
      </c>
      <c r="I173" s="246" t="s">
        <v>642</v>
      </c>
      <c r="J173" s="246" t="s">
        <v>51</v>
      </c>
      <c r="K173" s="246" t="s">
        <v>1233</v>
      </c>
      <c r="L173" s="243" t="s">
        <v>61</v>
      </c>
      <c r="AH173" s="197">
        <f>N173*G173-T173</f>
        <v>0</v>
      </c>
      <c r="AR173" s="197">
        <f>O173*G173-U173</f>
        <v>0</v>
      </c>
    </row>
    <row r="174" spans="1:50" ht="30" x14ac:dyDescent="0.2">
      <c r="A174" s="197">
        <v>193</v>
      </c>
      <c r="B174" s="197" t="s">
        <v>116</v>
      </c>
      <c r="C174" s="197" t="s">
        <v>113</v>
      </c>
      <c r="D174" s="246" t="s">
        <v>1314</v>
      </c>
      <c r="E174" s="243" t="s">
        <v>1315</v>
      </c>
      <c r="F174" s="267">
        <v>15.85</v>
      </c>
      <c r="G174" s="251">
        <f t="shared" si="11"/>
        <v>2.61</v>
      </c>
      <c r="H174" s="260">
        <v>2610</v>
      </c>
      <c r="I174" s="261" t="s">
        <v>62</v>
      </c>
      <c r="J174" s="246" t="s">
        <v>36</v>
      </c>
      <c r="K174" s="246" t="s">
        <v>1112</v>
      </c>
      <c r="L174" s="243"/>
      <c r="M174" s="197">
        <f>20.4-1.9</f>
        <v>18.5</v>
      </c>
      <c r="N174" s="197">
        <f>0.3+0.3+0.8+2.4</f>
        <v>3.8</v>
      </c>
      <c r="O174" s="197">
        <f>M174-N174</f>
        <v>14.7</v>
      </c>
      <c r="T174" s="197">
        <f>1.1*2.1</f>
        <v>2.3100000000000005</v>
      </c>
      <c r="AM174" s="197">
        <f>N174*G174-T174</f>
        <v>7.6079999999999988</v>
      </c>
      <c r="AP174" s="197">
        <f>O174*G174-U174</f>
        <v>38.366999999999997</v>
      </c>
    </row>
    <row r="175" spans="1:50" x14ac:dyDescent="0.2">
      <c r="A175" s="239">
        <v>194</v>
      </c>
      <c r="B175" s="197" t="s">
        <v>116</v>
      </c>
      <c r="C175" s="197" t="s">
        <v>113</v>
      </c>
      <c r="D175" s="246" t="s">
        <v>1141</v>
      </c>
      <c r="E175" s="243" t="s">
        <v>1142</v>
      </c>
      <c r="F175" s="267">
        <v>14.7</v>
      </c>
      <c r="G175" s="251">
        <f t="shared" si="11"/>
        <v>2.61</v>
      </c>
      <c r="H175" s="260">
        <v>2610</v>
      </c>
      <c r="I175" s="266" t="s">
        <v>67</v>
      </c>
      <c r="J175" s="246" t="s">
        <v>63</v>
      </c>
      <c r="K175" s="246" t="s">
        <v>1112</v>
      </c>
      <c r="L175" s="243"/>
      <c r="M175" s="197">
        <v>15.85</v>
      </c>
      <c r="N175" s="197">
        <f>0.6</f>
        <v>0.6</v>
      </c>
      <c r="O175" s="197">
        <f>M175-N175</f>
        <v>15.25</v>
      </c>
      <c r="AL175" s="197">
        <f>N175*G175-T175</f>
        <v>1.5659999999999998</v>
      </c>
      <c r="AP175" s="197">
        <f>O175*G175-U175</f>
        <v>39.802499999999995</v>
      </c>
    </row>
    <row r="176" spans="1:50" ht="45" x14ac:dyDescent="0.2">
      <c r="A176" s="239">
        <v>195</v>
      </c>
      <c r="B176" s="197" t="s">
        <v>116</v>
      </c>
      <c r="C176" s="197" t="s">
        <v>113</v>
      </c>
      <c r="D176" s="246" t="s">
        <v>1115</v>
      </c>
      <c r="E176" s="243" t="s">
        <v>1116</v>
      </c>
      <c r="F176" s="267">
        <v>11.35</v>
      </c>
      <c r="G176" s="251">
        <f t="shared" si="11"/>
        <v>2.61</v>
      </c>
      <c r="H176" s="262">
        <v>2610</v>
      </c>
      <c r="I176" s="266" t="s">
        <v>57</v>
      </c>
      <c r="J176" s="246" t="s">
        <v>297</v>
      </c>
      <c r="K176" s="246" t="s">
        <v>1112</v>
      </c>
      <c r="L176" s="243" t="s">
        <v>61</v>
      </c>
      <c r="M176" s="197">
        <v>16.2</v>
      </c>
      <c r="N176" s="197">
        <v>0.8</v>
      </c>
      <c r="O176" s="197">
        <v>1.75</v>
      </c>
      <c r="P176" s="197">
        <f>M176-N176-O176</f>
        <v>13.649999999999999</v>
      </c>
      <c r="V176" s="197">
        <f>1*2.1*2+0.9*2.1</f>
        <v>6.09</v>
      </c>
      <c r="AH176" s="197">
        <f>N176*G176-T176</f>
        <v>2.0880000000000001</v>
      </c>
      <c r="AM176" s="197">
        <f>O176*G176-U176</f>
        <v>4.5674999999999999</v>
      </c>
      <c r="AR176" s="197">
        <f>P176*G176-V176</f>
        <v>29.536499999999993</v>
      </c>
    </row>
    <row r="177" spans="1:44" ht="45" x14ac:dyDescent="0.2">
      <c r="A177" s="197">
        <v>196</v>
      </c>
      <c r="B177" s="197" t="s">
        <v>116</v>
      </c>
      <c r="C177" s="197" t="s">
        <v>113</v>
      </c>
      <c r="D177" s="265" t="s">
        <v>298</v>
      </c>
      <c r="E177" s="243" t="s">
        <v>1118</v>
      </c>
      <c r="F177" s="259">
        <v>4</v>
      </c>
      <c r="G177" s="251">
        <f t="shared" si="11"/>
        <v>2.61</v>
      </c>
      <c r="H177" s="260">
        <v>2610</v>
      </c>
      <c r="I177" s="266" t="s">
        <v>57</v>
      </c>
      <c r="J177" s="246" t="s">
        <v>51</v>
      </c>
      <c r="K177" s="246" t="s">
        <v>1112</v>
      </c>
      <c r="L177" s="243" t="s">
        <v>61</v>
      </c>
      <c r="M177" s="197">
        <v>14.5</v>
      </c>
      <c r="N177" s="197">
        <f>1.3</f>
        <v>1.3</v>
      </c>
      <c r="O177" s="197">
        <f>M177-N177</f>
        <v>13.2</v>
      </c>
      <c r="U177" s="197">
        <f>0.9*2.1</f>
        <v>1.8900000000000001</v>
      </c>
      <c r="AH177" s="197">
        <f>N177*G177-T177</f>
        <v>3.3929999999999998</v>
      </c>
      <c r="AR177" s="197">
        <f>O177*G177-U177</f>
        <v>32.561999999999998</v>
      </c>
    </row>
    <row r="178" spans="1:44" ht="45" x14ac:dyDescent="0.2">
      <c r="A178" s="239">
        <v>197</v>
      </c>
      <c r="B178" s="197" t="s">
        <v>116</v>
      </c>
      <c r="C178" s="197" t="s">
        <v>113</v>
      </c>
      <c r="D178" s="265" t="s">
        <v>299</v>
      </c>
      <c r="E178" s="243" t="s">
        <v>1120</v>
      </c>
      <c r="F178" s="263">
        <v>5.85</v>
      </c>
      <c r="G178" s="251">
        <f t="shared" si="11"/>
        <v>2.61</v>
      </c>
      <c r="H178" s="260">
        <v>2610</v>
      </c>
      <c r="I178" s="266" t="s">
        <v>57</v>
      </c>
      <c r="J178" s="246" t="s">
        <v>51</v>
      </c>
      <c r="K178" s="246" t="s">
        <v>1112</v>
      </c>
      <c r="L178" s="243" t="s">
        <v>61</v>
      </c>
      <c r="AH178" s="197">
        <f>N178*G178-T178</f>
        <v>0</v>
      </c>
      <c r="AR178" s="197">
        <f>O178*G178-U178</f>
        <v>0</v>
      </c>
    </row>
    <row r="179" spans="1:44" x14ac:dyDescent="0.2">
      <c r="A179" s="239">
        <v>198</v>
      </c>
      <c r="B179" s="197" t="s">
        <v>116</v>
      </c>
      <c r="C179" s="197" t="s">
        <v>113</v>
      </c>
      <c r="D179" s="246" t="s">
        <v>1143</v>
      </c>
      <c r="E179" s="243" t="s">
        <v>1144</v>
      </c>
      <c r="F179" s="259">
        <v>4.25</v>
      </c>
      <c r="G179" s="251">
        <f t="shared" si="11"/>
        <v>2.61</v>
      </c>
      <c r="H179" s="262">
        <v>2610</v>
      </c>
      <c r="I179" s="266" t="s">
        <v>67</v>
      </c>
      <c r="J179" s="246" t="s">
        <v>63</v>
      </c>
      <c r="K179" s="246" t="s">
        <v>1112</v>
      </c>
      <c r="L179" s="243"/>
      <c r="M179" s="197">
        <v>8.8000000000000007</v>
      </c>
      <c r="N179" s="197">
        <f>1</f>
        <v>1</v>
      </c>
      <c r="O179" s="197">
        <v>7.8</v>
      </c>
      <c r="AL179" s="197">
        <f>N179*G179-T179</f>
        <v>2.61</v>
      </c>
      <c r="AP179" s="197">
        <f>O179*G179-U179</f>
        <v>20.357999999999997</v>
      </c>
    </row>
    <row r="180" spans="1:44" x14ac:dyDescent="0.2">
      <c r="A180" s="197">
        <v>199</v>
      </c>
      <c r="B180" s="197" t="s">
        <v>116</v>
      </c>
      <c r="C180" s="197" t="s">
        <v>113</v>
      </c>
      <c r="D180" s="246" t="s">
        <v>1145</v>
      </c>
      <c r="E180" s="243" t="s">
        <v>1146</v>
      </c>
      <c r="F180" s="259">
        <v>7.6</v>
      </c>
      <c r="G180" s="251">
        <f t="shared" si="11"/>
        <v>2.61</v>
      </c>
      <c r="H180" s="260">
        <v>2610</v>
      </c>
      <c r="I180" s="266" t="s">
        <v>67</v>
      </c>
      <c r="J180" s="246" t="s">
        <v>34</v>
      </c>
      <c r="K180" s="246" t="s">
        <v>1112</v>
      </c>
      <c r="L180" s="243"/>
      <c r="M180" s="197">
        <v>11.1</v>
      </c>
      <c r="N180" s="197">
        <f>M180</f>
        <v>11.1</v>
      </c>
      <c r="AP180" s="197">
        <f>N180*G180-T180</f>
        <v>28.970999999999997</v>
      </c>
    </row>
    <row r="181" spans="1:44" ht="30" x14ac:dyDescent="0.2">
      <c r="A181" s="239">
        <v>200</v>
      </c>
      <c r="B181" s="197" t="s">
        <v>116</v>
      </c>
      <c r="C181" s="197" t="s">
        <v>113</v>
      </c>
      <c r="D181" s="246" t="s">
        <v>1147</v>
      </c>
      <c r="E181" s="245" t="s">
        <v>1148</v>
      </c>
      <c r="F181" s="259">
        <v>5.45</v>
      </c>
      <c r="G181" s="251">
        <f t="shared" si="11"/>
        <v>2.61</v>
      </c>
      <c r="H181" s="262">
        <v>2610</v>
      </c>
      <c r="I181" s="266" t="s">
        <v>67</v>
      </c>
      <c r="J181" s="246" t="s">
        <v>34</v>
      </c>
      <c r="K181" s="246" t="s">
        <v>1112</v>
      </c>
      <c r="L181" s="243"/>
      <c r="M181" s="197">
        <v>9.9</v>
      </c>
      <c r="N181" s="197">
        <f>M181</f>
        <v>9.9</v>
      </c>
      <c r="AP181" s="197">
        <f>N181*G181-T181</f>
        <v>25.838999999999999</v>
      </c>
    </row>
    <row r="182" spans="1:44" x14ac:dyDescent="0.2">
      <c r="A182" s="239">
        <v>201</v>
      </c>
      <c r="B182" s="197" t="s">
        <v>116</v>
      </c>
      <c r="C182" s="197" t="s">
        <v>113</v>
      </c>
      <c r="D182" s="246" t="s">
        <v>1149</v>
      </c>
      <c r="E182" s="243" t="s">
        <v>1150</v>
      </c>
      <c r="F182" s="267">
        <v>11.4</v>
      </c>
      <c r="G182" s="251">
        <f t="shared" si="11"/>
        <v>2.61</v>
      </c>
      <c r="H182" s="262">
        <v>2610</v>
      </c>
      <c r="I182" s="266" t="s">
        <v>67</v>
      </c>
      <c r="J182" s="246" t="s">
        <v>63</v>
      </c>
      <c r="K182" s="246" t="s">
        <v>1112</v>
      </c>
      <c r="L182" s="243"/>
      <c r="M182" s="197">
        <v>13.5</v>
      </c>
      <c r="N182" s="197">
        <v>2.6</v>
      </c>
      <c r="O182" s="197">
        <f>M182-N182</f>
        <v>10.9</v>
      </c>
      <c r="AL182" s="197">
        <f>N182*G182-T182</f>
        <v>6.7859999999999996</v>
      </c>
      <c r="AP182" s="197">
        <f>O182*G182-U182</f>
        <v>28.448999999999998</v>
      </c>
    </row>
    <row r="183" spans="1:44" ht="30" x14ac:dyDescent="0.2">
      <c r="A183" s="197">
        <v>202</v>
      </c>
      <c r="B183" s="197" t="s">
        <v>116</v>
      </c>
      <c r="C183" s="197" t="s">
        <v>113</v>
      </c>
      <c r="D183" s="246" t="s">
        <v>1151</v>
      </c>
      <c r="E183" s="243" t="s">
        <v>1152</v>
      </c>
      <c r="F183" s="263">
        <v>5.45</v>
      </c>
      <c r="G183" s="251">
        <f t="shared" si="11"/>
        <v>2.61</v>
      </c>
      <c r="H183" s="260">
        <v>2610</v>
      </c>
      <c r="I183" s="266" t="s">
        <v>67</v>
      </c>
      <c r="J183" s="246" t="s">
        <v>63</v>
      </c>
      <c r="K183" s="246" t="s">
        <v>1112</v>
      </c>
      <c r="L183" s="243"/>
      <c r="M183" s="197">
        <v>10.15</v>
      </c>
      <c r="N183" s="197">
        <v>1.6</v>
      </c>
      <c r="O183" s="197">
        <f>M183-N183</f>
        <v>8.5500000000000007</v>
      </c>
      <c r="AL183" s="197">
        <f>N183*G183-T183</f>
        <v>4.1760000000000002</v>
      </c>
      <c r="AP183" s="197">
        <f>O183*G183-U183</f>
        <v>22.3155</v>
      </c>
    </row>
    <row r="184" spans="1:44" ht="30" x14ac:dyDescent="0.2">
      <c r="A184" s="239">
        <v>203</v>
      </c>
      <c r="B184" s="197" t="s">
        <v>116</v>
      </c>
      <c r="C184" s="197" t="s">
        <v>113</v>
      </c>
      <c r="D184" s="246" t="s">
        <v>1153</v>
      </c>
      <c r="E184" s="243" t="s">
        <v>1154</v>
      </c>
      <c r="F184" s="259">
        <v>5.5</v>
      </c>
      <c r="G184" s="251">
        <f t="shared" si="11"/>
        <v>2.61</v>
      </c>
      <c r="H184" s="260">
        <v>2610</v>
      </c>
      <c r="I184" s="266" t="s">
        <v>67</v>
      </c>
      <c r="J184" s="246" t="s">
        <v>63</v>
      </c>
      <c r="K184" s="246" t="s">
        <v>1112</v>
      </c>
      <c r="L184" s="243"/>
      <c r="M184" s="197">
        <v>10.15</v>
      </c>
      <c r="N184" s="197">
        <v>1.615</v>
      </c>
      <c r="O184" s="197">
        <f>M184-N184</f>
        <v>8.5350000000000001</v>
      </c>
      <c r="AL184" s="197">
        <f>N184*G184-T184</f>
        <v>4.2151499999999995</v>
      </c>
      <c r="AP184" s="197">
        <f>O184*G184-U184</f>
        <v>22.276350000000001</v>
      </c>
    </row>
    <row r="185" spans="1:44" x14ac:dyDescent="0.2">
      <c r="A185" s="239">
        <v>204</v>
      </c>
      <c r="B185" s="197" t="s">
        <v>116</v>
      </c>
      <c r="C185" s="197" t="s">
        <v>113</v>
      </c>
      <c r="D185" s="246" t="s">
        <v>1316</v>
      </c>
      <c r="E185" s="243" t="s">
        <v>1317</v>
      </c>
      <c r="F185" s="259">
        <v>55.45</v>
      </c>
      <c r="G185" s="251">
        <f t="shared" si="11"/>
        <v>2.61</v>
      </c>
      <c r="H185" s="262">
        <v>2610</v>
      </c>
      <c r="I185" s="261" t="s">
        <v>62</v>
      </c>
      <c r="J185" s="246" t="s">
        <v>36</v>
      </c>
      <c r="K185" s="246" t="s">
        <v>1112</v>
      </c>
      <c r="L185" s="243"/>
      <c r="M185" s="197">
        <f>51.9-3.1-5.2-1.65-1.9</f>
        <v>40.049999999999997</v>
      </c>
      <c r="N185" s="197">
        <f>0.8+0.3+0.15*2+0.1</f>
        <v>1.5000000000000002</v>
      </c>
      <c r="O185" s="197">
        <f>M185-N185</f>
        <v>38.549999999999997</v>
      </c>
      <c r="AM185" s="197">
        <f>N185*G185-T185</f>
        <v>3.9150000000000005</v>
      </c>
      <c r="AP185" s="197">
        <f>O185*G185-U185</f>
        <v>100.61549999999998</v>
      </c>
    </row>
    <row r="186" spans="1:44" x14ac:dyDescent="0.2">
      <c r="A186" s="197">
        <v>205</v>
      </c>
      <c r="B186" s="197" t="s">
        <v>116</v>
      </c>
      <c r="C186" s="197" t="s">
        <v>113</v>
      </c>
      <c r="D186" s="246" t="s">
        <v>1003</v>
      </c>
      <c r="E186" s="243" t="s">
        <v>1004</v>
      </c>
      <c r="F186" s="267">
        <v>10.1</v>
      </c>
      <c r="G186" s="251">
        <f t="shared" si="11"/>
        <v>1.41</v>
      </c>
      <c r="H186" s="268">
        <v>1410</v>
      </c>
      <c r="I186" s="246" t="s">
        <v>1005</v>
      </c>
      <c r="J186" s="246" t="s">
        <v>8</v>
      </c>
      <c r="K186" s="246" t="s">
        <v>1006</v>
      </c>
      <c r="L186" s="243"/>
      <c r="M186" s="197">
        <f>13.2</f>
        <v>13.2</v>
      </c>
      <c r="N186" s="197">
        <f>M186</f>
        <v>13.2</v>
      </c>
      <c r="T186" s="197">
        <f>2*1.41</f>
        <v>2.82</v>
      </c>
      <c r="AD186" s="197">
        <f>N186*G186-T186</f>
        <v>15.791999999999998</v>
      </c>
    </row>
    <row r="187" spans="1:44" x14ac:dyDescent="0.2">
      <c r="A187" s="197">
        <v>211</v>
      </c>
      <c r="B187" s="197" t="s">
        <v>116</v>
      </c>
      <c r="C187" s="197" t="s">
        <v>114</v>
      </c>
      <c r="D187" s="242"/>
      <c r="E187" s="243" t="s">
        <v>1281</v>
      </c>
      <c r="F187" s="244"/>
      <c r="G187" s="244"/>
      <c r="H187" s="242"/>
      <c r="I187" s="242"/>
      <c r="J187" s="242"/>
      <c r="K187" s="242"/>
      <c r="L187" s="245"/>
    </row>
    <row r="188" spans="1:44" x14ac:dyDescent="0.2">
      <c r="A188" s="239">
        <v>212</v>
      </c>
      <c r="B188" s="197" t="s">
        <v>116</v>
      </c>
      <c r="C188" s="197" t="s">
        <v>114</v>
      </c>
      <c r="D188" s="242"/>
      <c r="E188" s="243" t="s">
        <v>1276</v>
      </c>
      <c r="F188" s="244"/>
      <c r="G188" s="244"/>
      <c r="H188" s="242"/>
      <c r="I188" s="242"/>
      <c r="J188" s="242"/>
      <c r="K188" s="242"/>
      <c r="L188" s="245"/>
    </row>
    <row r="189" spans="1:44" x14ac:dyDescent="0.2">
      <c r="A189" s="239">
        <v>213</v>
      </c>
      <c r="B189" s="197" t="s">
        <v>116</v>
      </c>
      <c r="C189" s="197" t="s">
        <v>114</v>
      </c>
      <c r="D189" s="246" t="s">
        <v>1026</v>
      </c>
      <c r="E189" s="243" t="s">
        <v>1016</v>
      </c>
      <c r="F189" s="255">
        <v>43.5</v>
      </c>
      <c r="G189" s="251">
        <f>H189/1000</f>
        <v>3</v>
      </c>
      <c r="H189" s="246">
        <v>3000</v>
      </c>
      <c r="I189" s="246" t="s">
        <v>605</v>
      </c>
      <c r="J189" s="246" t="s">
        <v>28</v>
      </c>
      <c r="K189" s="246" t="s">
        <v>1017</v>
      </c>
      <c r="L189" s="243"/>
      <c r="M189" s="197">
        <f>30.9+10.3</f>
        <v>41.2</v>
      </c>
      <c r="N189" s="197">
        <f>M189-O189-P189</f>
        <v>36.925000000000004</v>
      </c>
      <c r="O189" s="197">
        <v>1.9</v>
      </c>
      <c r="P189" s="197">
        <f>2.25+0.125</f>
        <v>2.375</v>
      </c>
      <c r="T189" s="197">
        <f>1.4*2.5+1.1*2.1+5.15*2.4</f>
        <v>18.170000000000002</v>
      </c>
      <c r="AM189" s="197">
        <f>N189*G189-T189</f>
        <v>92.605000000000004</v>
      </c>
      <c r="AN189" s="197">
        <f>O189*G189-U189</f>
        <v>5.6999999999999993</v>
      </c>
      <c r="AO189" s="197">
        <f>P189*G189-V189</f>
        <v>7.125</v>
      </c>
    </row>
    <row r="190" spans="1:44" x14ac:dyDescent="0.2">
      <c r="A190" s="197">
        <v>214</v>
      </c>
      <c r="B190" s="197" t="s">
        <v>116</v>
      </c>
      <c r="C190" s="197" t="s">
        <v>114</v>
      </c>
      <c r="D190" s="246" t="s">
        <v>636</v>
      </c>
      <c r="E190" s="243" t="s">
        <v>619</v>
      </c>
      <c r="F190" s="255">
        <v>6.15</v>
      </c>
      <c r="G190" s="251" t="e">
        <f>H190/1000</f>
        <v>#VALUE!</v>
      </c>
      <c r="H190" s="242" t="s">
        <v>9</v>
      </c>
      <c r="I190" s="242" t="s">
        <v>9</v>
      </c>
      <c r="J190" s="246" t="s">
        <v>8</v>
      </c>
      <c r="K190" s="242" t="s">
        <v>9</v>
      </c>
      <c r="L190" s="245"/>
    </row>
    <row r="191" spans="1:44" x14ac:dyDescent="0.2">
      <c r="A191" s="239">
        <v>215</v>
      </c>
      <c r="B191" s="197" t="s">
        <v>116</v>
      </c>
      <c r="C191" s="197" t="s">
        <v>114</v>
      </c>
      <c r="D191" s="246" t="s">
        <v>637</v>
      </c>
      <c r="E191" s="243" t="s">
        <v>621</v>
      </c>
      <c r="F191" s="255">
        <v>4.5</v>
      </c>
      <c r="G191" s="251" t="e">
        <f>H191/1000</f>
        <v>#VALUE!</v>
      </c>
      <c r="H191" s="242" t="s">
        <v>9</v>
      </c>
      <c r="I191" s="242" t="s">
        <v>9</v>
      </c>
      <c r="J191" s="246" t="s">
        <v>8</v>
      </c>
      <c r="K191" s="242" t="s">
        <v>9</v>
      </c>
      <c r="L191" s="245"/>
    </row>
    <row r="192" spans="1:44" x14ac:dyDescent="0.2">
      <c r="A192" s="239">
        <v>216</v>
      </c>
      <c r="B192" s="197" t="s">
        <v>116</v>
      </c>
      <c r="C192" s="197" t="s">
        <v>114</v>
      </c>
      <c r="D192" s="246" t="s">
        <v>1028</v>
      </c>
      <c r="E192" s="243" t="s">
        <v>861</v>
      </c>
      <c r="F192" s="255">
        <v>31.2</v>
      </c>
      <c r="G192" s="255"/>
      <c r="H192" s="256">
        <v>2610</v>
      </c>
      <c r="I192" s="246" t="s">
        <v>1029</v>
      </c>
      <c r="J192" s="246" t="s">
        <v>31</v>
      </c>
      <c r="K192" s="257" t="s">
        <v>26</v>
      </c>
      <c r="L192" s="243"/>
      <c r="M192" s="197">
        <f>30.3</f>
        <v>30.3</v>
      </c>
      <c r="N192" s="197">
        <v>2.4500000000000002</v>
      </c>
      <c r="O192" s="197">
        <f>3.1+5.15</f>
        <v>8.25</v>
      </c>
      <c r="P192" s="197">
        <f>M192-N192-O192</f>
        <v>19.600000000000001</v>
      </c>
      <c r="T192" s="197">
        <f>1.1*2.1</f>
        <v>2.3100000000000005</v>
      </c>
      <c r="U192" s="197">
        <f>1.4*2.5</f>
        <v>3.5</v>
      </c>
      <c r="AL192" s="197">
        <f>N192*H192/1000-T192</f>
        <v>4.0845000000000002</v>
      </c>
      <c r="AM192" s="197">
        <f>O192*H192/1000-U192</f>
        <v>18.032499999999999</v>
      </c>
      <c r="AP192" s="197">
        <f>P192*H192/1000-V192</f>
        <v>51.156000000000006</v>
      </c>
    </row>
    <row r="193" spans="1:46" x14ac:dyDescent="0.2">
      <c r="A193" s="197">
        <v>217</v>
      </c>
      <c r="B193" s="197" t="s">
        <v>116</v>
      </c>
      <c r="C193" s="197" t="s">
        <v>114</v>
      </c>
      <c r="D193" s="246" t="s">
        <v>1050</v>
      </c>
      <c r="E193" s="243" t="s">
        <v>1051</v>
      </c>
      <c r="F193" s="255">
        <v>45.85</v>
      </c>
      <c r="G193" s="251">
        <f t="shared" ref="G193:G202" si="12">H193/1000</f>
        <v>3</v>
      </c>
      <c r="H193" s="256">
        <v>3000</v>
      </c>
      <c r="I193" s="246" t="s">
        <v>606</v>
      </c>
      <c r="J193" s="246" t="s">
        <v>40</v>
      </c>
      <c r="K193" s="257" t="s">
        <v>32</v>
      </c>
      <c r="L193" s="243"/>
      <c r="M193" s="197">
        <v>34.700000000000003</v>
      </c>
      <c r="N193" s="197">
        <f>6.8+9.9</f>
        <v>16.7</v>
      </c>
      <c r="O193" s="197">
        <f>M193-P193-N193</f>
        <v>14.200000000000003</v>
      </c>
      <c r="P193" s="197">
        <v>3.8</v>
      </c>
      <c r="T193" s="197">
        <f>6.7*2.05</f>
        <v>13.734999999999999</v>
      </c>
      <c r="AM193" s="197">
        <f>N193*G193-T193</f>
        <v>36.364999999999995</v>
      </c>
      <c r="AP193" s="197">
        <f>O193*G193-U193</f>
        <v>42.600000000000009</v>
      </c>
      <c r="AT193" s="197">
        <f>P193*G193-V193</f>
        <v>11.399999999999999</v>
      </c>
    </row>
    <row r="194" spans="1:46" ht="45" x14ac:dyDescent="0.2">
      <c r="A194" s="239">
        <v>218</v>
      </c>
      <c r="B194" s="197" t="s">
        <v>116</v>
      </c>
      <c r="C194" s="197" t="s">
        <v>114</v>
      </c>
      <c r="D194" s="265" t="s">
        <v>300</v>
      </c>
      <c r="E194" s="243" t="s">
        <v>1079</v>
      </c>
      <c r="F194" s="255">
        <v>10.9</v>
      </c>
      <c r="G194" s="251">
        <f t="shared" si="12"/>
        <v>2.4</v>
      </c>
      <c r="H194" s="256">
        <v>2400</v>
      </c>
      <c r="I194" s="246" t="s">
        <v>1056</v>
      </c>
      <c r="J194" s="246" t="s">
        <v>303</v>
      </c>
      <c r="K194" s="246" t="s">
        <v>738</v>
      </c>
      <c r="L194" s="243"/>
      <c r="M194" s="197">
        <v>26.5</v>
      </c>
      <c r="N194" s="197">
        <f>0.4+0.2</f>
        <v>0.60000000000000009</v>
      </c>
      <c r="O194" s="197">
        <f>1.65*4+1.85+1.825</f>
        <v>10.274999999999999</v>
      </c>
      <c r="P194" s="197">
        <f>M194-O194-N194</f>
        <v>15.625000000000002</v>
      </c>
      <c r="V194" s="197">
        <f>3.4*2.4</f>
        <v>8.16</v>
      </c>
      <c r="AM194" s="197">
        <f>N194*G194-T194</f>
        <v>1.4400000000000002</v>
      </c>
      <c r="AQ194" s="197">
        <f>O194*G194-U194</f>
        <v>24.659999999999997</v>
      </c>
      <c r="AT194" s="197">
        <f>P194*G194-V194</f>
        <v>29.34</v>
      </c>
    </row>
    <row r="195" spans="1:46" x14ac:dyDescent="0.2">
      <c r="A195" s="239">
        <v>219</v>
      </c>
      <c r="B195" s="197" t="s">
        <v>116</v>
      </c>
      <c r="C195" s="197" t="s">
        <v>114</v>
      </c>
      <c r="D195" s="265" t="s">
        <v>301</v>
      </c>
      <c r="E195" s="243" t="s">
        <v>1081</v>
      </c>
      <c r="F195" s="255">
        <v>2.95</v>
      </c>
      <c r="G195" s="251">
        <f t="shared" si="12"/>
        <v>2.4</v>
      </c>
      <c r="H195" s="256">
        <v>2400</v>
      </c>
      <c r="I195" s="246" t="s">
        <v>1056</v>
      </c>
      <c r="J195" s="242" t="s">
        <v>45</v>
      </c>
      <c r="K195" s="246" t="s">
        <v>738</v>
      </c>
      <c r="L195" s="243"/>
      <c r="AQ195" s="197">
        <f>N195*G195-T195</f>
        <v>0</v>
      </c>
    </row>
    <row r="196" spans="1:46" x14ac:dyDescent="0.2">
      <c r="A196" s="197">
        <v>220</v>
      </c>
      <c r="B196" s="197" t="s">
        <v>116</v>
      </c>
      <c r="C196" s="197" t="s">
        <v>114</v>
      </c>
      <c r="D196" s="265" t="s">
        <v>302</v>
      </c>
      <c r="E196" s="243" t="s">
        <v>1083</v>
      </c>
      <c r="F196" s="255">
        <v>2.95</v>
      </c>
      <c r="G196" s="251">
        <f t="shared" si="12"/>
        <v>2.4</v>
      </c>
      <c r="H196" s="256">
        <v>2400</v>
      </c>
      <c r="I196" s="246" t="s">
        <v>1056</v>
      </c>
      <c r="J196" s="242" t="s">
        <v>45</v>
      </c>
      <c r="K196" s="246" t="s">
        <v>738</v>
      </c>
      <c r="L196" s="243"/>
      <c r="AQ196" s="197">
        <f>N196*G196-T196</f>
        <v>0</v>
      </c>
    </row>
    <row r="197" spans="1:46" x14ac:dyDescent="0.2">
      <c r="A197" s="239">
        <v>221</v>
      </c>
      <c r="B197" s="197" t="s">
        <v>116</v>
      </c>
      <c r="C197" s="197" t="s">
        <v>114</v>
      </c>
      <c r="D197" s="246" t="s">
        <v>1130</v>
      </c>
      <c r="E197" s="243" t="s">
        <v>1131</v>
      </c>
      <c r="F197" s="255">
        <v>29.8</v>
      </c>
      <c r="G197" s="251">
        <f t="shared" si="12"/>
        <v>3</v>
      </c>
      <c r="H197" s="256">
        <v>3000</v>
      </c>
      <c r="I197" s="257" t="s">
        <v>56</v>
      </c>
      <c r="J197" s="246" t="s">
        <v>63</v>
      </c>
      <c r="K197" s="246" t="s">
        <v>738</v>
      </c>
      <c r="L197" s="243"/>
      <c r="M197" s="197">
        <f>8.8*2+3.4*2</f>
        <v>24.400000000000002</v>
      </c>
      <c r="N197" s="197">
        <f>8.8+3.4*2</f>
        <v>15.600000000000001</v>
      </c>
      <c r="O197" s="197">
        <v>8.8000000000000007</v>
      </c>
      <c r="AL197" s="197">
        <f>N197*G197-T197</f>
        <v>46.800000000000004</v>
      </c>
      <c r="AP197" s="197">
        <f>O197*G197-U197</f>
        <v>26.400000000000002</v>
      </c>
    </row>
    <row r="198" spans="1:46" x14ac:dyDescent="0.2">
      <c r="A198" s="239">
        <v>222</v>
      </c>
      <c r="B198" s="197" t="s">
        <v>116</v>
      </c>
      <c r="C198" s="197" t="s">
        <v>114</v>
      </c>
      <c r="D198" s="246" t="s">
        <v>1132</v>
      </c>
      <c r="E198" s="243" t="s">
        <v>1133</v>
      </c>
      <c r="F198" s="255">
        <v>12.2</v>
      </c>
      <c r="G198" s="251">
        <f t="shared" si="12"/>
        <v>2.61</v>
      </c>
      <c r="H198" s="256">
        <v>2610</v>
      </c>
      <c r="I198" s="246" t="s">
        <v>1134</v>
      </c>
      <c r="J198" s="246" t="s">
        <v>63</v>
      </c>
      <c r="K198" s="246" t="s">
        <v>738</v>
      </c>
      <c r="L198" s="243"/>
      <c r="M198" s="197">
        <v>14.4</v>
      </c>
      <c r="N198" s="197">
        <f>3.4+3.8+0.3</f>
        <v>7.4999999999999991</v>
      </c>
      <c r="O198" s="197">
        <f>M198-N198</f>
        <v>6.9000000000000012</v>
      </c>
      <c r="AL198" s="197">
        <f>N198*G198-T198</f>
        <v>19.574999999999996</v>
      </c>
      <c r="AP198" s="197">
        <f>O198*G198-U198</f>
        <v>18.009000000000004</v>
      </c>
    </row>
    <row r="199" spans="1:46" ht="30" x14ac:dyDescent="0.2">
      <c r="A199" s="197">
        <v>223</v>
      </c>
      <c r="B199" s="197" t="s">
        <v>116</v>
      </c>
      <c r="C199" s="197" t="s">
        <v>114</v>
      </c>
      <c r="D199" s="265" t="s">
        <v>306</v>
      </c>
      <c r="E199" s="243" t="s">
        <v>1122</v>
      </c>
      <c r="F199" s="255">
        <v>4.25</v>
      </c>
      <c r="G199" s="251">
        <f t="shared" si="12"/>
        <v>2.61</v>
      </c>
      <c r="H199" s="256">
        <v>2610</v>
      </c>
      <c r="I199" s="246" t="s">
        <v>1123</v>
      </c>
      <c r="J199" s="246" t="s">
        <v>70</v>
      </c>
      <c r="K199" s="246" t="s">
        <v>738</v>
      </c>
      <c r="L199" s="243"/>
      <c r="M199" s="197">
        <f>18.7+0.8*2</f>
        <v>20.3</v>
      </c>
      <c r="N199" s="197">
        <f>M199</f>
        <v>20.3</v>
      </c>
      <c r="T199" s="197">
        <f>0.8*2.1*2+1*2.1</f>
        <v>5.4600000000000009</v>
      </c>
      <c r="AP199" s="197">
        <f>N199*2.67-T199</f>
        <v>48.741</v>
      </c>
      <c r="AR199" s="197">
        <f>O199*G199-U199</f>
        <v>0</v>
      </c>
    </row>
    <row r="200" spans="1:46" x14ac:dyDescent="0.2">
      <c r="A200" s="239">
        <v>224</v>
      </c>
      <c r="B200" s="197" t="s">
        <v>116</v>
      </c>
      <c r="C200" s="197" t="s">
        <v>114</v>
      </c>
      <c r="D200" s="265" t="s">
        <v>304</v>
      </c>
      <c r="E200" s="243" t="s">
        <v>1125</v>
      </c>
      <c r="F200" s="255">
        <v>3.1</v>
      </c>
      <c r="G200" s="251">
        <f t="shared" si="12"/>
        <v>2.61</v>
      </c>
      <c r="H200" s="256">
        <v>2610</v>
      </c>
      <c r="I200" s="246" t="s">
        <v>1123</v>
      </c>
      <c r="J200" s="246" t="s">
        <v>52</v>
      </c>
      <c r="K200" s="246" t="s">
        <v>778</v>
      </c>
      <c r="L200" s="243"/>
    </row>
    <row r="201" spans="1:46" x14ac:dyDescent="0.2">
      <c r="A201" s="239">
        <v>225</v>
      </c>
      <c r="B201" s="197" t="s">
        <v>116</v>
      </c>
      <c r="C201" s="197" t="s">
        <v>114</v>
      </c>
      <c r="D201" s="265" t="s">
        <v>305</v>
      </c>
      <c r="E201" s="243" t="s">
        <v>1127</v>
      </c>
      <c r="F201" s="255">
        <v>1.5</v>
      </c>
      <c r="G201" s="251">
        <f t="shared" si="12"/>
        <v>2.61</v>
      </c>
      <c r="H201" s="256">
        <v>2610</v>
      </c>
      <c r="I201" s="246" t="s">
        <v>1123</v>
      </c>
      <c r="J201" s="246" t="s">
        <v>52</v>
      </c>
      <c r="K201" s="246" t="s">
        <v>738</v>
      </c>
      <c r="L201" s="243"/>
    </row>
    <row r="202" spans="1:46" x14ac:dyDescent="0.2">
      <c r="A202" s="197">
        <v>226</v>
      </c>
      <c r="B202" s="197" t="s">
        <v>116</v>
      </c>
      <c r="C202" s="197" t="s">
        <v>114</v>
      </c>
      <c r="D202" s="246" t="s">
        <v>638</v>
      </c>
      <c r="E202" s="243" t="s">
        <v>623</v>
      </c>
      <c r="F202" s="255">
        <v>6</v>
      </c>
      <c r="G202" s="251">
        <f t="shared" si="12"/>
        <v>3</v>
      </c>
      <c r="H202" s="242">
        <v>3000</v>
      </c>
      <c r="I202" s="242" t="s">
        <v>9</v>
      </c>
      <c r="J202" s="242" t="s">
        <v>63</v>
      </c>
      <c r="K202" s="242" t="s">
        <v>9</v>
      </c>
      <c r="L202" s="245"/>
      <c r="M202" s="197">
        <v>12.2</v>
      </c>
      <c r="N202" s="197">
        <f>M202-O202</f>
        <v>7.6</v>
      </c>
      <c r="O202" s="197">
        <f>1.2+0.9+2.5</f>
        <v>4.5999999999999996</v>
      </c>
      <c r="AL202" s="197">
        <f>N202*G202-T202</f>
        <v>22.799999999999997</v>
      </c>
      <c r="AP202" s="197">
        <f>O202*G202-U202</f>
        <v>13.799999999999999</v>
      </c>
    </row>
    <row r="203" spans="1:46" ht="30" x14ac:dyDescent="0.2">
      <c r="A203" s="197">
        <v>232</v>
      </c>
      <c r="B203" s="197" t="s">
        <v>116</v>
      </c>
      <c r="C203" s="197" t="s">
        <v>114</v>
      </c>
      <c r="D203" s="242"/>
      <c r="E203" s="243" t="s">
        <v>1282</v>
      </c>
      <c r="F203" s="244"/>
      <c r="G203" s="244"/>
      <c r="H203" s="242"/>
      <c r="I203" s="245"/>
      <c r="J203" s="245"/>
      <c r="K203" s="245"/>
      <c r="L203" s="245"/>
    </row>
    <row r="204" spans="1:46" x14ac:dyDescent="0.2">
      <c r="A204" s="239">
        <v>233</v>
      </c>
      <c r="B204" s="197" t="s">
        <v>116</v>
      </c>
      <c r="C204" s="197" t="s">
        <v>114</v>
      </c>
      <c r="D204" s="242"/>
      <c r="E204" s="243" t="s">
        <v>1276</v>
      </c>
      <c r="F204" s="244"/>
      <c r="G204" s="244"/>
      <c r="H204" s="242"/>
      <c r="I204" s="245"/>
      <c r="J204" s="245"/>
      <c r="K204" s="245"/>
      <c r="L204" s="245"/>
    </row>
    <row r="205" spans="1:46" x14ac:dyDescent="0.2">
      <c r="A205" s="239">
        <v>234</v>
      </c>
      <c r="B205" s="197" t="s">
        <v>116</v>
      </c>
      <c r="C205" s="197" t="s">
        <v>117</v>
      </c>
      <c r="D205" s="246" t="s">
        <v>1167</v>
      </c>
      <c r="E205" s="243" t="s">
        <v>861</v>
      </c>
      <c r="F205" s="255">
        <v>7.35</v>
      </c>
      <c r="G205" s="251">
        <f>H205/1000</f>
        <v>3</v>
      </c>
      <c r="H205" s="256">
        <v>3000</v>
      </c>
      <c r="I205" s="246" t="s">
        <v>1168</v>
      </c>
      <c r="J205" s="246" t="s">
        <v>71</v>
      </c>
      <c r="K205" s="246" t="s">
        <v>1169</v>
      </c>
      <c r="L205" s="246"/>
      <c r="M205" s="197">
        <v>13</v>
      </c>
      <c r="N205" s="197">
        <f>M205</f>
        <v>13</v>
      </c>
      <c r="T205" s="197">
        <f>1.3*3+1.355*3</f>
        <v>7.9649999999999999</v>
      </c>
      <c r="AM205" s="197">
        <f>N205*G205-T205</f>
        <v>31.035</v>
      </c>
    </row>
    <row r="206" spans="1:46" x14ac:dyDescent="0.2">
      <c r="A206" s="197">
        <v>235</v>
      </c>
      <c r="B206" s="197" t="s">
        <v>116</v>
      </c>
      <c r="C206" s="197" t="s">
        <v>117</v>
      </c>
      <c r="D206" s="265" t="s">
        <v>307</v>
      </c>
      <c r="E206" s="243" t="s">
        <v>1166</v>
      </c>
      <c r="F206" s="255">
        <v>32.200000000000003</v>
      </c>
      <c r="G206" s="251">
        <f>H206/1000</f>
        <v>3</v>
      </c>
      <c r="H206" s="256">
        <v>3000</v>
      </c>
      <c r="I206" s="246" t="s">
        <v>1168</v>
      </c>
      <c r="J206" s="246" t="s">
        <v>72</v>
      </c>
      <c r="K206" s="246" t="s">
        <v>1017</v>
      </c>
      <c r="L206" s="246"/>
    </row>
    <row r="207" spans="1:46" x14ac:dyDescent="0.2">
      <c r="A207" s="239">
        <v>236</v>
      </c>
      <c r="B207" s="197" t="s">
        <v>116</v>
      </c>
      <c r="C207" s="197" t="s">
        <v>117</v>
      </c>
      <c r="D207" s="265" t="s">
        <v>308</v>
      </c>
      <c r="E207" s="243" t="s">
        <v>1019</v>
      </c>
      <c r="F207" s="255">
        <v>24.1</v>
      </c>
      <c r="G207" s="251">
        <f>H207/1000</f>
        <v>3</v>
      </c>
      <c r="H207" s="256">
        <v>3000</v>
      </c>
      <c r="I207" s="246" t="s">
        <v>1327</v>
      </c>
      <c r="J207" s="246" t="s">
        <v>72</v>
      </c>
      <c r="K207" s="246" t="s">
        <v>1017</v>
      </c>
      <c r="L207" s="246"/>
    </row>
    <row r="208" spans="1:46" ht="45" x14ac:dyDescent="0.2">
      <c r="A208" s="239">
        <v>237</v>
      </c>
      <c r="B208" s="197" t="s">
        <v>116</v>
      </c>
      <c r="C208" s="197" t="s">
        <v>117</v>
      </c>
      <c r="D208" s="265" t="s">
        <v>309</v>
      </c>
      <c r="E208" s="243" t="s">
        <v>1085</v>
      </c>
      <c r="F208" s="255">
        <v>356.15</v>
      </c>
      <c r="G208" s="255"/>
      <c r="H208" s="256">
        <v>3000</v>
      </c>
      <c r="I208" s="246" t="s">
        <v>1327</v>
      </c>
      <c r="J208" s="246" t="s">
        <v>81</v>
      </c>
      <c r="K208" s="246" t="s">
        <v>1017</v>
      </c>
      <c r="L208" s="246"/>
      <c r="M208" s="197">
        <f>182.2-11.7-11.1-2.85-3.85+1.26*7+7.9-4.5*2-1.8-12-4.5-6.65-6.5-3.4-3.4-3.37-9-3.4-1.6</f>
        <v>104.79999999999998</v>
      </c>
      <c r="N208" s="197">
        <f>0.2</f>
        <v>0.2</v>
      </c>
      <c r="O208" s="197">
        <f>1.26*7+7.9+3.2+3.5</f>
        <v>23.419999999999998</v>
      </c>
      <c r="P208" s="197">
        <f>4.65+3.95+0.5*2+6.35+5.25*2</f>
        <v>26.450000000000003</v>
      </c>
      <c r="Q208" s="197">
        <f>M208-N208-O208-P208</f>
        <v>54.729999999999976</v>
      </c>
      <c r="U208" s="197">
        <f>1.35*2.6</f>
        <v>3.5100000000000002</v>
      </c>
      <c r="W208" s="197">
        <f>5.15*2.4+1.5*2.1+4*2.4+2.855*2.4+9.3*2.4+9.15*2.4</f>
        <v>76.24199999999999</v>
      </c>
      <c r="AL208" s="197">
        <f>N208*H208/1000-T208</f>
        <v>0.6</v>
      </c>
      <c r="AM208" s="197">
        <f>O208*H208/1000-U208</f>
        <v>66.75</v>
      </c>
      <c r="AN208" s="197">
        <f>P208*H208/1000-V208</f>
        <v>79.350000000000009</v>
      </c>
      <c r="AP208" s="197">
        <f>Q208*H208/1000-W208</f>
        <v>87.947999999999922</v>
      </c>
    </row>
    <row r="209" spans="1:46" x14ac:dyDescent="0.2">
      <c r="A209" s="197">
        <v>238</v>
      </c>
      <c r="B209" s="197" t="s">
        <v>116</v>
      </c>
      <c r="C209" s="197" t="s">
        <v>117</v>
      </c>
      <c r="D209" s="246" t="s">
        <v>1199</v>
      </c>
      <c r="E209" s="243" t="s">
        <v>1200</v>
      </c>
      <c r="F209" s="255">
        <v>33.75</v>
      </c>
      <c r="G209" s="251">
        <f>H209/1000</f>
        <v>5.25</v>
      </c>
      <c r="H209" s="256">
        <v>5250</v>
      </c>
      <c r="I209" s="246" t="s">
        <v>1319</v>
      </c>
      <c r="J209" s="246" t="s">
        <v>34</v>
      </c>
      <c r="K209" s="246" t="s">
        <v>1017</v>
      </c>
      <c r="L209" s="246"/>
      <c r="M209" s="197">
        <v>22.2</v>
      </c>
      <c r="N209" s="197">
        <f>M209</f>
        <v>22.2</v>
      </c>
      <c r="T209" s="197">
        <f>1.35*2.6</f>
        <v>3.5100000000000002</v>
      </c>
      <c r="AP209" s="197">
        <f>N209*G209-T209</f>
        <v>113.03999999999999</v>
      </c>
    </row>
    <row r="210" spans="1:46" ht="30" x14ac:dyDescent="0.2">
      <c r="A210" s="239">
        <v>239</v>
      </c>
      <c r="B210" s="197" t="s">
        <v>116</v>
      </c>
      <c r="C210" s="197" t="s">
        <v>117</v>
      </c>
      <c r="D210" s="265" t="s">
        <v>311</v>
      </c>
      <c r="E210" s="243" t="s">
        <v>1202</v>
      </c>
      <c r="F210" s="255">
        <v>17.399999999999999</v>
      </c>
      <c r="G210" s="251">
        <f>H210/1000</f>
        <v>3</v>
      </c>
      <c r="H210" s="256">
        <v>3000</v>
      </c>
      <c r="I210" s="257" t="s">
        <v>74</v>
      </c>
      <c r="J210" s="246" t="s">
        <v>36</v>
      </c>
      <c r="K210" s="246" t="s">
        <v>1169</v>
      </c>
      <c r="L210" s="246"/>
      <c r="M210" s="197">
        <f>26.9+1*2+0.2*6</f>
        <v>30.099999999999998</v>
      </c>
      <c r="N210" s="197">
        <f>1*2+0.2*6</f>
        <v>3.2</v>
      </c>
      <c r="O210" s="197">
        <f>M210-N210</f>
        <v>26.9</v>
      </c>
      <c r="U210" s="197">
        <f>9.35*2.4+9.35*2.05</f>
        <v>41.607499999999995</v>
      </c>
      <c r="AM210" s="197">
        <f>N210*G210-T210</f>
        <v>9.6000000000000014</v>
      </c>
      <c r="AP210" s="197">
        <f>O210*G210-U210</f>
        <v>39.092499999999994</v>
      </c>
    </row>
    <row r="211" spans="1:46" x14ac:dyDescent="0.2">
      <c r="A211" s="239">
        <v>240</v>
      </c>
      <c r="B211" s="197" t="s">
        <v>116</v>
      </c>
      <c r="C211" s="197" t="s">
        <v>117</v>
      </c>
      <c r="D211" s="265" t="s">
        <v>312</v>
      </c>
      <c r="E211" s="243" t="s">
        <v>1202</v>
      </c>
      <c r="F211" s="255">
        <v>16.899999999999999</v>
      </c>
      <c r="G211" s="251">
        <f>H211/1000</f>
        <v>3</v>
      </c>
      <c r="H211" s="256">
        <v>3000</v>
      </c>
      <c r="I211" s="257" t="s">
        <v>74</v>
      </c>
      <c r="J211" s="246" t="s">
        <v>36</v>
      </c>
      <c r="K211" s="246" t="s">
        <v>1169</v>
      </c>
      <c r="L211" s="246"/>
      <c r="AM211" s="197">
        <f>N211*G211-T211</f>
        <v>0</v>
      </c>
      <c r="AP211" s="197">
        <f>O211*G211-U211</f>
        <v>0</v>
      </c>
    </row>
    <row r="212" spans="1:46" ht="30" x14ac:dyDescent="0.2">
      <c r="A212" s="197">
        <v>241</v>
      </c>
      <c r="B212" s="197" t="s">
        <v>116</v>
      </c>
      <c r="C212" s="197" t="s">
        <v>117</v>
      </c>
      <c r="D212" s="246" t="s">
        <v>1234</v>
      </c>
      <c r="E212" s="243" t="s">
        <v>1235</v>
      </c>
      <c r="F212" s="255">
        <v>34.6</v>
      </c>
      <c r="G212" s="255"/>
      <c r="H212" s="242" t="s">
        <v>9</v>
      </c>
      <c r="I212" s="246" t="s">
        <v>1236</v>
      </c>
      <c r="J212" s="246" t="s">
        <v>75</v>
      </c>
      <c r="K212" s="245"/>
      <c r="L212" s="245"/>
    </row>
    <row r="213" spans="1:46" ht="30" x14ac:dyDescent="0.2">
      <c r="A213" s="239">
        <v>242</v>
      </c>
      <c r="B213" s="197" t="s">
        <v>116</v>
      </c>
      <c r="C213" s="197" t="s">
        <v>117</v>
      </c>
      <c r="D213" s="246" t="s">
        <v>1237</v>
      </c>
      <c r="E213" s="243" t="s">
        <v>1235</v>
      </c>
      <c r="F213" s="255">
        <v>86.85</v>
      </c>
      <c r="G213" s="255"/>
      <c r="H213" s="242" t="s">
        <v>9</v>
      </c>
      <c r="I213" s="246" t="s">
        <v>1236</v>
      </c>
      <c r="J213" s="246" t="s">
        <v>76</v>
      </c>
      <c r="K213" s="245"/>
      <c r="L213" s="245"/>
    </row>
    <row r="214" spans="1:46" ht="30" x14ac:dyDescent="0.2">
      <c r="A214" s="239">
        <v>243</v>
      </c>
      <c r="B214" s="197" t="s">
        <v>116</v>
      </c>
      <c r="C214" s="197" t="s">
        <v>117</v>
      </c>
      <c r="D214" s="246" t="s">
        <v>1260</v>
      </c>
      <c r="E214" s="243" t="s">
        <v>1261</v>
      </c>
      <c r="F214" s="255">
        <v>49</v>
      </c>
      <c r="G214" s="255"/>
      <c r="H214" s="242" t="s">
        <v>9</v>
      </c>
      <c r="I214" s="246" t="s">
        <v>1262</v>
      </c>
      <c r="J214" s="246" t="s">
        <v>75</v>
      </c>
      <c r="K214" s="245"/>
      <c r="L214" s="245"/>
    </row>
    <row r="215" spans="1:46" x14ac:dyDescent="0.2">
      <c r="A215" s="197">
        <v>244</v>
      </c>
      <c r="B215" s="197" t="s">
        <v>116</v>
      </c>
      <c r="C215" s="197" t="s">
        <v>117</v>
      </c>
      <c r="D215" s="246" t="s">
        <v>1084</v>
      </c>
      <c r="E215" s="243" t="s">
        <v>1085</v>
      </c>
      <c r="F215" s="255">
        <v>5.15</v>
      </c>
      <c r="G215" s="251">
        <f t="shared" ref="G215:G223" si="13">H215/1000</f>
        <v>3</v>
      </c>
      <c r="H215" s="256">
        <v>3000</v>
      </c>
      <c r="I215" s="257" t="s">
        <v>77</v>
      </c>
      <c r="J215" s="242" t="s">
        <v>34</v>
      </c>
      <c r="K215" s="246" t="s">
        <v>738</v>
      </c>
      <c r="L215" s="246"/>
      <c r="M215" s="197">
        <v>9.3000000000000007</v>
      </c>
      <c r="N215" s="197">
        <f>M215</f>
        <v>9.3000000000000007</v>
      </c>
      <c r="T215" s="197">
        <f>M215*2.1</f>
        <v>19.53</v>
      </c>
      <c r="AP215" s="197">
        <f>N215*G215-T215</f>
        <v>8.370000000000001</v>
      </c>
    </row>
    <row r="216" spans="1:46" x14ac:dyDescent="0.2">
      <c r="A216" s="239">
        <v>245</v>
      </c>
      <c r="B216" s="197" t="s">
        <v>116</v>
      </c>
      <c r="C216" s="197" t="s">
        <v>117</v>
      </c>
      <c r="D216" s="246" t="s">
        <v>1086</v>
      </c>
      <c r="E216" s="243" t="s">
        <v>1087</v>
      </c>
      <c r="F216" s="255">
        <v>5.75</v>
      </c>
      <c r="G216" s="251">
        <f t="shared" si="13"/>
        <v>3</v>
      </c>
      <c r="H216" s="256">
        <v>3000</v>
      </c>
      <c r="I216" s="257" t="s">
        <v>77</v>
      </c>
      <c r="J216" s="242" t="s">
        <v>78</v>
      </c>
      <c r="K216" s="246" t="s">
        <v>738</v>
      </c>
      <c r="L216" s="246"/>
      <c r="M216" s="197">
        <f>10.6-2.95</f>
        <v>7.6499999999999995</v>
      </c>
      <c r="N216" s="197">
        <f>M216</f>
        <v>7.6499999999999995</v>
      </c>
      <c r="T216" s="197">
        <f>(3.4+1.9)*2.1</f>
        <v>11.13</v>
      </c>
      <c r="AT216" s="197">
        <f>N216*G216-T216</f>
        <v>11.819999999999999</v>
      </c>
    </row>
    <row r="217" spans="1:46" x14ac:dyDescent="0.2">
      <c r="A217" s="239">
        <v>246</v>
      </c>
      <c r="B217" s="197" t="s">
        <v>116</v>
      </c>
      <c r="C217" s="197" t="s">
        <v>117</v>
      </c>
      <c r="D217" s="246" t="s">
        <v>1088</v>
      </c>
      <c r="E217" s="243" t="s">
        <v>1081</v>
      </c>
      <c r="F217" s="255">
        <v>1.6</v>
      </c>
      <c r="G217" s="251">
        <f t="shared" si="13"/>
        <v>2.4</v>
      </c>
      <c r="H217" s="256">
        <v>2400</v>
      </c>
      <c r="I217" s="257" t="s">
        <v>77</v>
      </c>
      <c r="J217" s="242" t="s">
        <v>45</v>
      </c>
      <c r="K217" s="246" t="s">
        <v>738</v>
      </c>
      <c r="L217" s="246"/>
      <c r="M217" s="197">
        <v>5.0999999999999996</v>
      </c>
      <c r="N217" s="197">
        <f>M217</f>
        <v>5.0999999999999996</v>
      </c>
      <c r="T217" s="197">
        <f>1.6*2.1</f>
        <v>3.3600000000000003</v>
      </c>
      <c r="AQ217" s="197">
        <f>N217*G217-T217</f>
        <v>8.879999999999999</v>
      </c>
    </row>
    <row r="218" spans="1:46" x14ac:dyDescent="0.2">
      <c r="A218" s="197">
        <v>247</v>
      </c>
      <c r="B218" s="197" t="s">
        <v>116</v>
      </c>
      <c r="C218" s="197" t="s">
        <v>117</v>
      </c>
      <c r="D218" s="246" t="s">
        <v>1089</v>
      </c>
      <c r="E218" s="243" t="s">
        <v>1081</v>
      </c>
      <c r="F218" s="255">
        <v>1.6</v>
      </c>
      <c r="G218" s="251">
        <f t="shared" si="13"/>
        <v>2.4</v>
      </c>
      <c r="H218" s="256">
        <v>2400</v>
      </c>
      <c r="I218" s="257" t="s">
        <v>77</v>
      </c>
      <c r="J218" s="242" t="s">
        <v>45</v>
      </c>
      <c r="K218" s="246" t="s">
        <v>738</v>
      </c>
      <c r="L218" s="246"/>
      <c r="M218" s="197">
        <v>5.0999999999999996</v>
      </c>
      <c r="N218" s="197">
        <f>M218</f>
        <v>5.0999999999999996</v>
      </c>
      <c r="T218" s="197">
        <f>1.6*2.1</f>
        <v>3.3600000000000003</v>
      </c>
      <c r="AQ218" s="197">
        <f>N218*G218-T218</f>
        <v>8.879999999999999</v>
      </c>
    </row>
    <row r="219" spans="1:46" x14ac:dyDescent="0.2">
      <c r="A219" s="239">
        <v>248</v>
      </c>
      <c r="B219" s="197" t="s">
        <v>116</v>
      </c>
      <c r="C219" s="197" t="s">
        <v>117</v>
      </c>
      <c r="D219" s="246" t="s">
        <v>1090</v>
      </c>
      <c r="E219" s="243" t="s">
        <v>1091</v>
      </c>
      <c r="F219" s="255">
        <v>3</v>
      </c>
      <c r="G219" s="251">
        <f t="shared" si="13"/>
        <v>3</v>
      </c>
      <c r="H219" s="256">
        <v>3000</v>
      </c>
      <c r="I219" s="257" t="s">
        <v>77</v>
      </c>
      <c r="J219" s="242" t="s">
        <v>80</v>
      </c>
      <c r="K219" s="246" t="s">
        <v>738</v>
      </c>
      <c r="L219" s="246"/>
      <c r="M219" s="197">
        <v>7</v>
      </c>
      <c r="N219" s="197">
        <v>1.7</v>
      </c>
      <c r="O219" s="197">
        <f>M219-N219</f>
        <v>5.3</v>
      </c>
      <c r="U219" s="197">
        <f>(1.735+1.7)*2.1</f>
        <v>7.2135000000000007</v>
      </c>
      <c r="AM219" s="197">
        <f>N219*G219-T219</f>
        <v>5.0999999999999996</v>
      </c>
      <c r="AT219" s="197">
        <f>O219*G219-U219</f>
        <v>8.6864999999999988</v>
      </c>
    </row>
    <row r="220" spans="1:46" ht="30" x14ac:dyDescent="0.2">
      <c r="A220" s="239">
        <v>249</v>
      </c>
      <c r="B220" s="197" t="s">
        <v>116</v>
      </c>
      <c r="C220" s="197" t="s">
        <v>117</v>
      </c>
      <c r="D220" s="265" t="s">
        <v>313</v>
      </c>
      <c r="E220" s="243" t="s">
        <v>1083</v>
      </c>
      <c r="F220" s="255">
        <v>1.75</v>
      </c>
      <c r="G220" s="251">
        <f t="shared" si="13"/>
        <v>2.4</v>
      </c>
      <c r="H220" s="256">
        <v>2400</v>
      </c>
      <c r="I220" s="257" t="s">
        <v>77</v>
      </c>
      <c r="J220" s="242" t="s">
        <v>79</v>
      </c>
      <c r="K220" s="246" t="s">
        <v>738</v>
      </c>
      <c r="L220" s="246"/>
      <c r="M220" s="197">
        <v>7.4</v>
      </c>
      <c r="N220" s="197">
        <v>1.6</v>
      </c>
      <c r="O220" s="197">
        <f>M220-N220</f>
        <v>5.8000000000000007</v>
      </c>
      <c r="U220" s="197">
        <f>2*2.1</f>
        <v>4.2</v>
      </c>
      <c r="AG220" s="197">
        <f>N220*G220-T220</f>
        <v>3.84</v>
      </c>
      <c r="AQ220" s="197">
        <f>O220*G220-U220</f>
        <v>9.7200000000000024</v>
      </c>
    </row>
    <row r="221" spans="1:46" x14ac:dyDescent="0.2">
      <c r="A221" s="197">
        <v>250</v>
      </c>
      <c r="B221" s="197" t="s">
        <v>116</v>
      </c>
      <c r="C221" s="197" t="s">
        <v>117</v>
      </c>
      <c r="D221" s="265" t="s">
        <v>314</v>
      </c>
      <c r="E221" s="243" t="s">
        <v>1094</v>
      </c>
      <c r="F221" s="255">
        <v>1.5</v>
      </c>
      <c r="G221" s="251">
        <f t="shared" si="13"/>
        <v>2.4</v>
      </c>
      <c r="H221" s="256">
        <v>2400</v>
      </c>
      <c r="I221" s="257" t="s">
        <v>77</v>
      </c>
      <c r="J221" s="242" t="s">
        <v>79</v>
      </c>
      <c r="K221" s="246" t="s">
        <v>738</v>
      </c>
      <c r="L221" s="246"/>
      <c r="AG221" s="197">
        <f>N221*G221-T221</f>
        <v>0</v>
      </c>
      <c r="AQ221" s="197">
        <f>O221*G221-U221</f>
        <v>0</v>
      </c>
    </row>
    <row r="222" spans="1:46" x14ac:dyDescent="0.2">
      <c r="A222" s="239">
        <v>251</v>
      </c>
      <c r="B222" s="197" t="s">
        <v>116</v>
      </c>
      <c r="C222" s="197" t="s">
        <v>117</v>
      </c>
      <c r="D222" s="246" t="s">
        <v>1095</v>
      </c>
      <c r="E222" s="243" t="s">
        <v>1067</v>
      </c>
      <c r="F222" s="255">
        <v>4.9000000000000004</v>
      </c>
      <c r="G222" s="251">
        <f t="shared" si="13"/>
        <v>2.4</v>
      </c>
      <c r="H222" s="256">
        <v>2400</v>
      </c>
      <c r="I222" s="257" t="s">
        <v>77</v>
      </c>
      <c r="J222" s="242" t="s">
        <v>45</v>
      </c>
      <c r="K222" s="246" t="s">
        <v>738</v>
      </c>
      <c r="L222" s="246"/>
      <c r="M222" s="197">
        <v>8.6999999999999993</v>
      </c>
      <c r="N222" s="197">
        <f>M222</f>
        <v>8.6999999999999993</v>
      </c>
      <c r="T222" s="197">
        <f>2.25*2.1</f>
        <v>4.7250000000000005</v>
      </c>
      <c r="AQ222" s="197">
        <f>N222*G222-T222</f>
        <v>16.154999999999998</v>
      </c>
    </row>
    <row r="223" spans="1:46" ht="45" x14ac:dyDescent="0.2">
      <c r="A223" s="239">
        <v>252</v>
      </c>
      <c r="B223" s="197" t="s">
        <v>116</v>
      </c>
      <c r="C223" s="197" t="s">
        <v>117</v>
      </c>
      <c r="D223" s="246" t="s">
        <v>1052</v>
      </c>
      <c r="E223" s="245" t="s">
        <v>1053</v>
      </c>
      <c r="F223" s="255">
        <v>31.4</v>
      </c>
      <c r="G223" s="251">
        <f t="shared" si="13"/>
        <v>3</v>
      </c>
      <c r="H223" s="256">
        <v>3000</v>
      </c>
      <c r="I223" s="246" t="s">
        <v>606</v>
      </c>
      <c r="J223" s="246" t="s">
        <v>80</v>
      </c>
      <c r="K223" s="246" t="s">
        <v>778</v>
      </c>
      <c r="L223" s="246"/>
      <c r="M223" s="197">
        <v>23.1</v>
      </c>
      <c r="N223" s="197">
        <f>M223/2</f>
        <v>11.55</v>
      </c>
      <c r="O223" s="197">
        <f>M223/2</f>
        <v>11.55</v>
      </c>
      <c r="T223" s="197">
        <f>4.35*3</f>
        <v>13.049999999999999</v>
      </c>
      <c r="U223" s="197">
        <f>0.8*2.1</f>
        <v>1.6800000000000002</v>
      </c>
      <c r="AM223" s="197">
        <f>N223*G223-T223</f>
        <v>21.600000000000009</v>
      </c>
      <c r="AT223" s="197">
        <f>O223*G223-U223</f>
        <v>32.970000000000006</v>
      </c>
    </row>
    <row r="224" spans="1:46" ht="30" x14ac:dyDescent="0.2">
      <c r="A224" s="197">
        <v>253</v>
      </c>
      <c r="B224" s="197" t="s">
        <v>116</v>
      </c>
      <c r="C224" s="197" t="s">
        <v>117</v>
      </c>
      <c r="D224" s="265" t="s">
        <v>310</v>
      </c>
      <c r="E224" s="243" t="s">
        <v>1172</v>
      </c>
      <c r="F224" s="255">
        <v>25.2</v>
      </c>
      <c r="G224" s="255"/>
      <c r="H224" s="256">
        <v>3050</v>
      </c>
      <c r="I224" s="246" t="s">
        <v>1168</v>
      </c>
      <c r="J224" s="246" t="s">
        <v>81</v>
      </c>
      <c r="K224" s="246" t="s">
        <v>1017</v>
      </c>
      <c r="L224" s="246"/>
    </row>
    <row r="225" spans="1:52" x14ac:dyDescent="0.2">
      <c r="A225" s="239">
        <v>254</v>
      </c>
      <c r="B225" s="197" t="s">
        <v>116</v>
      </c>
      <c r="C225" s="197" t="s">
        <v>117</v>
      </c>
      <c r="D225" s="246" t="s">
        <v>1187</v>
      </c>
      <c r="E225" s="243" t="s">
        <v>1188</v>
      </c>
      <c r="F225" s="255">
        <v>13.45</v>
      </c>
      <c r="G225" s="255"/>
      <c r="H225" s="246">
        <v>3000</v>
      </c>
      <c r="I225" s="246" t="s">
        <v>639</v>
      </c>
      <c r="J225" s="246" t="s">
        <v>31</v>
      </c>
      <c r="K225" s="246" t="s">
        <v>738</v>
      </c>
      <c r="L225" s="246"/>
      <c r="M225" s="197">
        <v>16.899999999999999</v>
      </c>
      <c r="N225" s="197">
        <f>5.65</f>
        <v>5.65</v>
      </c>
      <c r="O225" s="197">
        <v>2.5</v>
      </c>
      <c r="P225" s="197">
        <f>M225-O225</f>
        <v>14.399999999999999</v>
      </c>
      <c r="T225" s="197">
        <f>0.9*2.4</f>
        <v>2.16</v>
      </c>
      <c r="U225" s="197">
        <f>2.5*1.93</f>
        <v>4.8250000000000002</v>
      </c>
      <c r="AL225" s="197">
        <f>N225*H225/1000-T225</f>
        <v>14.79</v>
      </c>
      <c r="AM225" s="197">
        <f>O225*H225/1000-U225</f>
        <v>2.6749999999999998</v>
      </c>
      <c r="AP225" s="197">
        <f>P225*H225/1000-V225</f>
        <v>43.199999999999996</v>
      </c>
    </row>
    <row r="226" spans="1:52" ht="30" x14ac:dyDescent="0.2">
      <c r="A226" s="239">
        <v>255</v>
      </c>
      <c r="B226" s="197" t="s">
        <v>116</v>
      </c>
      <c r="C226" s="197" t="s">
        <v>117</v>
      </c>
      <c r="D226" s="246" t="s">
        <v>1190</v>
      </c>
      <c r="E226" s="243" t="s">
        <v>1191</v>
      </c>
      <c r="F226" s="255">
        <v>14.6</v>
      </c>
      <c r="G226" s="251">
        <f t="shared" ref="G226:G236" si="14">H226/1000</f>
        <v>3</v>
      </c>
      <c r="H226" s="246">
        <v>3000</v>
      </c>
      <c r="I226" s="246" t="s">
        <v>639</v>
      </c>
      <c r="J226" s="246" t="s">
        <v>36</v>
      </c>
      <c r="K226" s="246" t="s">
        <v>738</v>
      </c>
      <c r="L226" s="246"/>
      <c r="M226" s="197">
        <v>16.649999999999999</v>
      </c>
      <c r="N226" s="197">
        <f>M226/2</f>
        <v>8.3249999999999993</v>
      </c>
      <c r="O226" s="197">
        <f>M226/2</f>
        <v>8.3249999999999993</v>
      </c>
      <c r="T226" s="197">
        <f>2.75*1.93</f>
        <v>5.3075000000000001</v>
      </c>
      <c r="AM226" s="197">
        <f t="shared" ref="AM226:AM232" si="15">N226*G226-T226</f>
        <v>19.667499999999997</v>
      </c>
      <c r="AP226" s="197">
        <f t="shared" ref="AP226:AP232" si="16">O226*G226-U226</f>
        <v>24.974999999999998</v>
      </c>
    </row>
    <row r="227" spans="1:52" ht="30" x14ac:dyDescent="0.2">
      <c r="A227" s="197">
        <v>256</v>
      </c>
      <c r="B227" s="197" t="s">
        <v>116</v>
      </c>
      <c r="C227" s="197" t="s">
        <v>117</v>
      </c>
      <c r="D227" s="246" t="s">
        <v>1193</v>
      </c>
      <c r="E227" s="243" t="s">
        <v>1194</v>
      </c>
      <c r="F227" s="255">
        <v>14.6</v>
      </c>
      <c r="G227" s="251">
        <f t="shared" si="14"/>
        <v>3</v>
      </c>
      <c r="H227" s="246">
        <v>3000</v>
      </c>
      <c r="I227" s="246" t="s">
        <v>639</v>
      </c>
      <c r="J227" s="246" t="s">
        <v>36</v>
      </c>
      <c r="K227" s="246" t="s">
        <v>738</v>
      </c>
      <c r="L227" s="246"/>
      <c r="M227" s="197">
        <v>16.8</v>
      </c>
      <c r="N227" s="197">
        <f>M227/2</f>
        <v>8.4</v>
      </c>
      <c r="O227" s="197">
        <f>M227/2</f>
        <v>8.4</v>
      </c>
      <c r="T227" s="197">
        <f>2.75*1.93</f>
        <v>5.3075000000000001</v>
      </c>
      <c r="AM227" s="197">
        <f t="shared" si="15"/>
        <v>19.892500000000002</v>
      </c>
      <c r="AP227" s="197">
        <f t="shared" si="16"/>
        <v>25.200000000000003</v>
      </c>
    </row>
    <row r="228" spans="1:52" x14ac:dyDescent="0.2">
      <c r="A228" s="239">
        <v>257</v>
      </c>
      <c r="B228" s="197" t="s">
        <v>116</v>
      </c>
      <c r="C228" s="197" t="s">
        <v>117</v>
      </c>
      <c r="D228" s="246" t="s">
        <v>1195</v>
      </c>
      <c r="E228" s="243" t="s">
        <v>1196</v>
      </c>
      <c r="F228" s="255">
        <v>14.6</v>
      </c>
      <c r="G228" s="251">
        <f t="shared" si="14"/>
        <v>3</v>
      </c>
      <c r="H228" s="246">
        <v>3000</v>
      </c>
      <c r="I228" s="246" t="s">
        <v>639</v>
      </c>
      <c r="J228" s="246" t="s">
        <v>36</v>
      </c>
      <c r="K228" s="246" t="s">
        <v>738</v>
      </c>
      <c r="L228" s="246"/>
      <c r="M228" s="197">
        <v>16.8</v>
      </c>
      <c r="N228" s="197">
        <f>M228/2</f>
        <v>8.4</v>
      </c>
      <c r="O228" s="197">
        <f>M228/2</f>
        <v>8.4</v>
      </c>
      <c r="T228" s="197">
        <f>2.75*1.93</f>
        <v>5.3075000000000001</v>
      </c>
      <c r="AM228" s="197">
        <f t="shared" si="15"/>
        <v>19.892500000000002</v>
      </c>
      <c r="AP228" s="197">
        <f t="shared" si="16"/>
        <v>25.200000000000003</v>
      </c>
    </row>
    <row r="229" spans="1:52" ht="30" x14ac:dyDescent="0.2">
      <c r="A229" s="239">
        <v>258</v>
      </c>
      <c r="B229" s="197" t="s">
        <v>116</v>
      </c>
      <c r="C229" s="197" t="s">
        <v>117</v>
      </c>
      <c r="D229" s="246" t="s">
        <v>1197</v>
      </c>
      <c r="E229" s="243" t="s">
        <v>1198</v>
      </c>
      <c r="F229" s="255">
        <v>14.6</v>
      </c>
      <c r="G229" s="251">
        <f t="shared" si="14"/>
        <v>3</v>
      </c>
      <c r="H229" s="246">
        <v>3000</v>
      </c>
      <c r="I229" s="246" t="s">
        <v>639</v>
      </c>
      <c r="J229" s="246" t="s">
        <v>36</v>
      </c>
      <c r="K229" s="246" t="s">
        <v>738</v>
      </c>
      <c r="L229" s="246"/>
      <c r="M229" s="197">
        <v>16.8</v>
      </c>
      <c r="N229" s="197">
        <f>M229/2</f>
        <v>8.4</v>
      </c>
      <c r="O229" s="197">
        <f>M229/2</f>
        <v>8.4</v>
      </c>
      <c r="T229" s="197">
        <f>2.75*1.93</f>
        <v>5.3075000000000001</v>
      </c>
      <c r="AM229" s="197">
        <f t="shared" si="15"/>
        <v>19.892500000000002</v>
      </c>
      <c r="AP229" s="197">
        <f t="shared" si="16"/>
        <v>25.200000000000003</v>
      </c>
    </row>
    <row r="230" spans="1:52" x14ac:dyDescent="0.2">
      <c r="A230" s="197">
        <v>259</v>
      </c>
      <c r="B230" s="197" t="s">
        <v>116</v>
      </c>
      <c r="C230" s="197" t="s">
        <v>117</v>
      </c>
      <c r="D230" s="246" t="s">
        <v>1204</v>
      </c>
      <c r="E230" s="243" t="s">
        <v>1205</v>
      </c>
      <c r="F230" s="255">
        <v>26.55</v>
      </c>
      <c r="G230" s="251">
        <f t="shared" si="14"/>
        <v>3</v>
      </c>
      <c r="H230" s="246">
        <v>3000</v>
      </c>
      <c r="I230" s="246" t="s">
        <v>1318</v>
      </c>
      <c r="J230" s="246" t="s">
        <v>36</v>
      </c>
      <c r="K230" s="246" t="s">
        <v>738</v>
      </c>
      <c r="L230" s="246"/>
      <c r="M230" s="197">
        <v>21.15</v>
      </c>
      <c r="N230" s="197">
        <f>M230/2</f>
        <v>10.574999999999999</v>
      </c>
      <c r="O230" s="197">
        <f>M230/2</f>
        <v>10.574999999999999</v>
      </c>
      <c r="T230" s="197">
        <f>5*1.93</f>
        <v>9.65</v>
      </c>
      <c r="AM230" s="197">
        <f t="shared" si="15"/>
        <v>22.074999999999996</v>
      </c>
      <c r="AP230" s="197">
        <f t="shared" si="16"/>
        <v>31.724999999999998</v>
      </c>
    </row>
    <row r="231" spans="1:52" ht="30" x14ac:dyDescent="0.2">
      <c r="A231" s="239">
        <v>260</v>
      </c>
      <c r="B231" s="197" t="s">
        <v>116</v>
      </c>
      <c r="C231" s="197" t="s">
        <v>117</v>
      </c>
      <c r="D231" s="246" t="s">
        <v>1206</v>
      </c>
      <c r="E231" s="243" t="s">
        <v>1207</v>
      </c>
      <c r="F231" s="244">
        <v>11.15</v>
      </c>
      <c r="G231" s="251">
        <f t="shared" si="14"/>
        <v>3</v>
      </c>
      <c r="H231" s="246">
        <v>3000</v>
      </c>
      <c r="I231" s="246" t="s">
        <v>1319</v>
      </c>
      <c r="J231" s="246" t="s">
        <v>36</v>
      </c>
      <c r="K231" s="246" t="s">
        <v>738</v>
      </c>
      <c r="L231" s="246"/>
      <c r="M231" s="197">
        <f>13.4-3.35</f>
        <v>10.050000000000001</v>
      </c>
      <c r="N231" s="197">
        <v>3.3</v>
      </c>
      <c r="O231" s="197">
        <f>M231-N231</f>
        <v>6.7500000000000009</v>
      </c>
      <c r="U231" s="197">
        <f>3.35*2.4</f>
        <v>8.0399999999999991</v>
      </c>
      <c r="AM231" s="197">
        <f t="shared" si="15"/>
        <v>9.8999999999999986</v>
      </c>
      <c r="AP231" s="197">
        <f t="shared" si="16"/>
        <v>12.210000000000004</v>
      </c>
    </row>
    <row r="232" spans="1:52" ht="30" x14ac:dyDescent="0.2">
      <c r="A232" s="239">
        <v>261</v>
      </c>
      <c r="B232" s="197" t="s">
        <v>116</v>
      </c>
      <c r="C232" s="197" t="s">
        <v>117</v>
      </c>
      <c r="D232" s="246" t="s">
        <v>1208</v>
      </c>
      <c r="E232" s="243" t="s">
        <v>1207</v>
      </c>
      <c r="F232" s="255">
        <v>11.25</v>
      </c>
      <c r="G232" s="251">
        <f t="shared" si="14"/>
        <v>3</v>
      </c>
      <c r="H232" s="246">
        <v>3000</v>
      </c>
      <c r="I232" s="246" t="s">
        <v>1318</v>
      </c>
      <c r="J232" s="246" t="s">
        <v>36</v>
      </c>
      <c r="K232" s="246" t="s">
        <v>738</v>
      </c>
      <c r="L232" s="246"/>
      <c r="M232" s="197">
        <f>13.4-3.4</f>
        <v>10</v>
      </c>
      <c r="N232" s="197">
        <v>3.3</v>
      </c>
      <c r="O232" s="197">
        <f>M232-N232</f>
        <v>6.7</v>
      </c>
      <c r="U232" s="197">
        <f>3.4*2.4</f>
        <v>8.16</v>
      </c>
      <c r="AM232" s="197">
        <f t="shared" si="15"/>
        <v>9.8999999999999986</v>
      </c>
      <c r="AP232" s="197">
        <f t="shared" si="16"/>
        <v>11.940000000000001</v>
      </c>
    </row>
    <row r="233" spans="1:52" x14ac:dyDescent="0.2">
      <c r="A233" s="197">
        <v>262</v>
      </c>
      <c r="B233" s="197" t="s">
        <v>116</v>
      </c>
      <c r="C233" s="197" t="s">
        <v>117</v>
      </c>
      <c r="D233" s="246" t="s">
        <v>1209</v>
      </c>
      <c r="E233" s="243" t="s">
        <v>1180</v>
      </c>
      <c r="F233" s="255">
        <v>12.15</v>
      </c>
      <c r="G233" s="251">
        <f t="shared" si="14"/>
        <v>3</v>
      </c>
      <c r="H233" s="246">
        <v>3000</v>
      </c>
      <c r="I233" s="246" t="s">
        <v>1319</v>
      </c>
      <c r="J233" s="246" t="s">
        <v>315</v>
      </c>
      <c r="K233" s="246" t="s">
        <v>738</v>
      </c>
      <c r="L233" s="246"/>
      <c r="M233" s="197">
        <f>14.5-3.35</f>
        <v>11.15</v>
      </c>
      <c r="N233" s="197">
        <f>M233-O233</f>
        <v>8.9</v>
      </c>
      <c r="O233" s="197">
        <v>2.25</v>
      </c>
      <c r="T233" s="197">
        <f>1.85*2.4</f>
        <v>4.4400000000000004</v>
      </c>
      <c r="AP233" s="197">
        <f>N233*G233-T233</f>
        <v>22.26</v>
      </c>
      <c r="AS233" s="197">
        <f>O233*G233-U233</f>
        <v>6.75</v>
      </c>
    </row>
    <row r="234" spans="1:52" x14ac:dyDescent="0.2">
      <c r="A234" s="239">
        <v>263</v>
      </c>
      <c r="B234" s="197" t="s">
        <v>116</v>
      </c>
      <c r="C234" s="197" t="s">
        <v>117</v>
      </c>
      <c r="D234" s="246" t="s">
        <v>746</v>
      </c>
      <c r="E234" s="243" t="s">
        <v>747</v>
      </c>
      <c r="F234" s="255">
        <v>69.849999999999994</v>
      </c>
      <c r="G234" s="251">
        <f t="shared" si="14"/>
        <v>3</v>
      </c>
      <c r="H234" s="256">
        <v>3000</v>
      </c>
      <c r="I234" s="246" t="s">
        <v>649</v>
      </c>
      <c r="J234" s="246" t="s">
        <v>71</v>
      </c>
      <c r="K234" s="246" t="s">
        <v>738</v>
      </c>
      <c r="L234" s="246"/>
      <c r="M234" s="197">
        <f>13.3+10+1.26*2</f>
        <v>25.82</v>
      </c>
      <c r="N234" s="197">
        <f>M234</f>
        <v>25.82</v>
      </c>
      <c r="AM234" s="197">
        <f>N234*G234-T234</f>
        <v>77.460000000000008</v>
      </c>
    </row>
    <row r="235" spans="1:52" ht="30" x14ac:dyDescent="0.2">
      <c r="A235" s="239">
        <v>264</v>
      </c>
      <c r="B235" s="197" t="s">
        <v>116</v>
      </c>
      <c r="C235" s="197" t="s">
        <v>117</v>
      </c>
      <c r="D235" s="246" t="s">
        <v>744</v>
      </c>
      <c r="E235" s="243" t="s">
        <v>745</v>
      </c>
      <c r="F235" s="255">
        <v>121.5</v>
      </c>
      <c r="G235" s="251">
        <f t="shared" si="14"/>
        <v>3.3650000000000002</v>
      </c>
      <c r="H235" s="256">
        <v>3365</v>
      </c>
      <c r="I235" s="246" t="s">
        <v>1303</v>
      </c>
      <c r="J235" s="242" t="s">
        <v>71</v>
      </c>
      <c r="K235" s="246" t="s">
        <v>671</v>
      </c>
      <c r="L235" s="246"/>
      <c r="M235" s="197">
        <f>1.26*4+10.2</f>
        <v>15.239999999999998</v>
      </c>
      <c r="N235" s="197">
        <f>M235</f>
        <v>15.239999999999998</v>
      </c>
      <c r="AM235" s="197">
        <f>N235*G235-T235</f>
        <v>51.282599999999995</v>
      </c>
    </row>
    <row r="236" spans="1:52" x14ac:dyDescent="0.2">
      <c r="A236" s="197">
        <v>265</v>
      </c>
      <c r="B236" s="197" t="s">
        <v>116</v>
      </c>
      <c r="C236" s="197" t="s">
        <v>117</v>
      </c>
      <c r="D236" s="246" t="s">
        <v>1328</v>
      </c>
      <c r="E236" s="243" t="s">
        <v>861</v>
      </c>
      <c r="F236" s="255">
        <v>33.950000000000003</v>
      </c>
      <c r="G236" s="251">
        <f t="shared" si="14"/>
        <v>3</v>
      </c>
      <c r="H236" s="256">
        <v>3000</v>
      </c>
      <c r="I236" s="246" t="s">
        <v>1329</v>
      </c>
      <c r="J236" s="246" t="s">
        <v>73</v>
      </c>
      <c r="K236" s="246" t="s">
        <v>1017</v>
      </c>
      <c r="L236" s="246"/>
      <c r="M236" s="197">
        <f>36.9-1.525-4.75-4.9</f>
        <v>25.725000000000001</v>
      </c>
      <c r="N236" s="197">
        <v>0.7</v>
      </c>
      <c r="O236" s="197">
        <v>1.9</v>
      </c>
      <c r="P236" s="197">
        <f>M236-O236-N236</f>
        <v>23.125000000000004</v>
      </c>
      <c r="V236" s="197">
        <f>3.4*2.4</f>
        <v>8.16</v>
      </c>
      <c r="AM236" s="197">
        <f>N236*G236-T236</f>
        <v>2.0999999999999996</v>
      </c>
      <c r="AN236" s="197">
        <f>O236*G236-U236</f>
        <v>5.6999999999999993</v>
      </c>
      <c r="AP236" s="197">
        <f>P236*G236-V236</f>
        <v>61.215000000000018</v>
      </c>
    </row>
    <row r="237" spans="1:52" x14ac:dyDescent="0.2">
      <c r="A237" s="197">
        <v>271</v>
      </c>
      <c r="B237" s="197" t="s">
        <v>118</v>
      </c>
      <c r="C237" s="197" t="s">
        <v>112</v>
      </c>
      <c r="D237" s="246"/>
      <c r="E237" s="243" t="s">
        <v>1269</v>
      </c>
      <c r="F237" s="244"/>
      <c r="G237" s="244"/>
      <c r="H237" s="242"/>
      <c r="I237" s="242"/>
      <c r="J237" s="242"/>
      <c r="K237" s="242"/>
      <c r="L237" s="245"/>
    </row>
    <row r="238" spans="1:52" x14ac:dyDescent="0.2">
      <c r="A238" s="239">
        <v>272</v>
      </c>
      <c r="B238" s="197" t="s">
        <v>118</v>
      </c>
      <c r="C238" s="197" t="s">
        <v>112</v>
      </c>
      <c r="D238" s="246"/>
      <c r="E238" s="243" t="s">
        <v>1270</v>
      </c>
      <c r="F238" s="244"/>
      <c r="G238" s="244"/>
      <c r="H238" s="242"/>
      <c r="I238" s="242"/>
      <c r="J238" s="242"/>
      <c r="K238" s="242"/>
      <c r="L238" s="245"/>
    </row>
    <row r="239" spans="1:52" x14ac:dyDescent="0.2">
      <c r="A239" s="239">
        <v>273</v>
      </c>
      <c r="B239" s="197" t="s">
        <v>118</v>
      </c>
      <c r="C239" s="197" t="s">
        <v>112</v>
      </c>
      <c r="D239" s="246" t="s">
        <v>351</v>
      </c>
      <c r="E239" s="243" t="s">
        <v>673</v>
      </c>
      <c r="F239" s="250">
        <v>42.6</v>
      </c>
      <c r="G239" s="251">
        <f>H239/1000</f>
        <v>2.61</v>
      </c>
      <c r="H239" s="248">
        <v>2610</v>
      </c>
      <c r="I239" s="246" t="s">
        <v>1031</v>
      </c>
      <c r="J239" s="246" t="s">
        <v>85</v>
      </c>
      <c r="K239" s="246" t="s">
        <v>1032</v>
      </c>
      <c r="L239" s="243"/>
      <c r="M239" s="197">
        <f>31.5+10.2</f>
        <v>41.7</v>
      </c>
      <c r="N239" s="197">
        <f>M239-Q239-P239-O239</f>
        <v>32.825000000000003</v>
      </c>
      <c r="O239" s="197">
        <v>1.9</v>
      </c>
      <c r="P239" s="197">
        <f>0.815+0.15+1.31</f>
        <v>2.2749999999999999</v>
      </c>
      <c r="Q239" s="197">
        <f>4.4+0.15*2</f>
        <v>4.7</v>
      </c>
      <c r="T239" s="197">
        <f>4.65*2.55+4.1*2.55+2.55*2.655+1.1*2.1</f>
        <v>31.392749999999999</v>
      </c>
      <c r="AM239" s="197">
        <f>N239*G239-T239</f>
        <v>54.280500000000011</v>
      </c>
      <c r="AN239" s="197">
        <f>O239*G239-U239</f>
        <v>4.9589999999999996</v>
      </c>
      <c r="AO239" s="197">
        <f>P239*G239-V239</f>
        <v>5.9377499999999994</v>
      </c>
      <c r="AZ239" s="197">
        <f>Q239*G239-W239</f>
        <v>12.266999999999999</v>
      </c>
    </row>
    <row r="240" spans="1:52" x14ac:dyDescent="0.2">
      <c r="A240" s="197">
        <v>274</v>
      </c>
      <c r="B240" s="197" t="s">
        <v>118</v>
      </c>
      <c r="C240" s="197" t="s">
        <v>112</v>
      </c>
      <c r="D240" s="246" t="s">
        <v>640</v>
      </c>
      <c r="E240" s="243" t="s">
        <v>641</v>
      </c>
      <c r="F240" s="250">
        <v>6.15</v>
      </c>
      <c r="G240" s="251" t="e">
        <f>H240/1000</f>
        <v>#VALUE!</v>
      </c>
      <c r="H240" s="242" t="s">
        <v>9</v>
      </c>
      <c r="I240" s="242" t="s">
        <v>9</v>
      </c>
      <c r="J240" s="246" t="s">
        <v>8</v>
      </c>
      <c r="K240" s="242" t="s">
        <v>9</v>
      </c>
      <c r="L240" s="245"/>
    </row>
    <row r="241" spans="1:52" x14ac:dyDescent="0.2">
      <c r="A241" s="239">
        <v>275</v>
      </c>
      <c r="B241" s="197" t="s">
        <v>118</v>
      </c>
      <c r="C241" s="197" t="s">
        <v>112</v>
      </c>
      <c r="D241" s="246" t="s">
        <v>382</v>
      </c>
      <c r="E241" s="243" t="s">
        <v>644</v>
      </c>
      <c r="F241" s="247">
        <v>4.5</v>
      </c>
      <c r="G241" s="251" t="e">
        <f>H241/1000</f>
        <v>#VALUE!</v>
      </c>
      <c r="H241" s="242" t="s">
        <v>9</v>
      </c>
      <c r="I241" s="242" t="s">
        <v>9</v>
      </c>
      <c r="J241" s="246" t="s">
        <v>8</v>
      </c>
      <c r="K241" s="242" t="s">
        <v>9</v>
      </c>
      <c r="L241" s="245"/>
    </row>
    <row r="242" spans="1:52" ht="30" x14ac:dyDescent="0.2">
      <c r="A242" s="239">
        <v>276</v>
      </c>
      <c r="B242" s="197" t="s">
        <v>118</v>
      </c>
      <c r="C242" s="197" t="s">
        <v>112</v>
      </c>
      <c r="D242" s="246" t="s">
        <v>346</v>
      </c>
      <c r="E242" s="243" t="s">
        <v>679</v>
      </c>
      <c r="F242" s="250">
        <v>71.8</v>
      </c>
      <c r="G242" s="250"/>
      <c r="H242" s="248">
        <v>2830</v>
      </c>
      <c r="I242" s="246" t="s">
        <v>656</v>
      </c>
      <c r="J242" s="242" t="s">
        <v>86</v>
      </c>
      <c r="K242" s="246" t="s">
        <v>836</v>
      </c>
      <c r="L242" s="243"/>
      <c r="M242" s="197">
        <v>59.65</v>
      </c>
      <c r="N242" s="197">
        <f>0.75+2.4+0.2+0.6</f>
        <v>3.95</v>
      </c>
      <c r="O242" s="197">
        <f>1.15+2.5+3.15</f>
        <v>6.8</v>
      </c>
      <c r="P242" s="197">
        <f>(0.325*2+2.25)*3</f>
        <v>8.6999999999999993</v>
      </c>
      <c r="Q242" s="197">
        <f>M242-N242-O242-P242-R242</f>
        <v>34.325000000000003</v>
      </c>
      <c r="R242" s="197">
        <f>0.455+4.88+0.54</f>
        <v>5.875</v>
      </c>
      <c r="T242" s="197">
        <f>1.1*2.1</f>
        <v>2.3100000000000005</v>
      </c>
      <c r="W242" s="197">
        <f>2.45*2.85*2+3.5*2.55+2.55*2.655</f>
        <v>29.660249999999998</v>
      </c>
      <c r="AL242" s="197">
        <f>N242*H242/1000-T242</f>
        <v>8.8684999999999992</v>
      </c>
      <c r="AM242" s="197">
        <f>O242*H242/1000-U242</f>
        <v>19.244</v>
      </c>
      <c r="AN242" s="197">
        <f>P242*H242/1000-V242</f>
        <v>24.620999999999995</v>
      </c>
      <c r="AP242" s="197">
        <f>Q242*H242/1000-W242</f>
        <v>67.47950000000003</v>
      </c>
      <c r="AZ242" s="197">
        <f>R242*H242/1000-X242</f>
        <v>16.626249999999999</v>
      </c>
    </row>
    <row r="243" spans="1:52" x14ac:dyDescent="0.2">
      <c r="A243" s="197">
        <v>277</v>
      </c>
      <c r="B243" s="197" t="s">
        <v>118</v>
      </c>
      <c r="C243" s="197" t="s">
        <v>112</v>
      </c>
      <c r="D243" s="265" t="s">
        <v>330</v>
      </c>
      <c r="E243" s="243" t="s">
        <v>679</v>
      </c>
      <c r="F243" s="250">
        <v>18.850000000000001</v>
      </c>
      <c r="G243" s="251">
        <f t="shared" ref="G243:G252" si="17">H243/1000</f>
        <v>2.83</v>
      </c>
      <c r="H243" s="248">
        <v>2830</v>
      </c>
      <c r="I243" s="246" t="s">
        <v>656</v>
      </c>
      <c r="J243" s="246" t="s">
        <v>73</v>
      </c>
      <c r="K243" s="246" t="s">
        <v>836</v>
      </c>
      <c r="L243" s="243"/>
    </row>
    <row r="244" spans="1:52" x14ac:dyDescent="0.2">
      <c r="A244" s="239">
        <v>278</v>
      </c>
      <c r="B244" s="197" t="s">
        <v>118</v>
      </c>
      <c r="C244" s="197" t="s">
        <v>112</v>
      </c>
      <c r="D244" s="265" t="s">
        <v>339</v>
      </c>
      <c r="E244" s="243" t="s">
        <v>679</v>
      </c>
      <c r="F244" s="250">
        <v>53.5</v>
      </c>
      <c r="G244" s="251">
        <f t="shared" si="17"/>
        <v>2.83</v>
      </c>
      <c r="H244" s="248">
        <v>2830</v>
      </c>
      <c r="I244" s="246" t="s">
        <v>656</v>
      </c>
      <c r="J244" s="246" t="s">
        <v>87</v>
      </c>
      <c r="K244" s="246" t="s">
        <v>836</v>
      </c>
      <c r="L244" s="243"/>
    </row>
    <row r="245" spans="1:52" x14ac:dyDescent="0.2">
      <c r="A245" s="239">
        <v>279</v>
      </c>
      <c r="B245" s="197" t="s">
        <v>118</v>
      </c>
      <c r="C245" s="197" t="s">
        <v>112</v>
      </c>
      <c r="D245" s="265" t="s">
        <v>334</v>
      </c>
      <c r="E245" s="243" t="s">
        <v>679</v>
      </c>
      <c r="F245" s="250">
        <v>38.299999999999997</v>
      </c>
      <c r="G245" s="251">
        <f t="shared" si="17"/>
        <v>2.83</v>
      </c>
      <c r="H245" s="248">
        <v>2830</v>
      </c>
      <c r="I245" s="246" t="s">
        <v>656</v>
      </c>
      <c r="J245" s="246" t="s">
        <v>88</v>
      </c>
      <c r="K245" s="246" t="s">
        <v>836</v>
      </c>
      <c r="L245" s="243"/>
      <c r="O245" s="265"/>
    </row>
    <row r="246" spans="1:52" x14ac:dyDescent="0.2">
      <c r="A246" s="197">
        <v>280</v>
      </c>
      <c r="B246" s="197" t="s">
        <v>118</v>
      </c>
      <c r="C246" s="197" t="s">
        <v>112</v>
      </c>
      <c r="D246" s="246" t="s">
        <v>441</v>
      </c>
      <c r="E246" s="243" t="s">
        <v>802</v>
      </c>
      <c r="F246" s="250">
        <v>4.75</v>
      </c>
      <c r="G246" s="251">
        <f t="shared" si="17"/>
        <v>2.4</v>
      </c>
      <c r="H246" s="248">
        <v>2400</v>
      </c>
      <c r="I246" s="246" t="s">
        <v>654</v>
      </c>
      <c r="J246" s="246" t="s">
        <v>60</v>
      </c>
      <c r="K246" s="246" t="s">
        <v>756</v>
      </c>
      <c r="L246" s="243"/>
      <c r="M246" s="197">
        <f>9.8</f>
        <v>9.8000000000000007</v>
      </c>
      <c r="N246" s="197">
        <f>1.5</f>
        <v>1.5</v>
      </c>
      <c r="O246" s="197">
        <f>M246-P246-N246</f>
        <v>5.25</v>
      </c>
      <c r="P246" s="197">
        <f>0.6+2.45</f>
        <v>3.0500000000000003</v>
      </c>
      <c r="AH246" s="197">
        <f>N246*G246-T246</f>
        <v>3.5999999999999996</v>
      </c>
      <c r="AP246" s="197">
        <f>O246*G246-U246</f>
        <v>12.6</v>
      </c>
      <c r="AR246" s="197">
        <f>P246*G246-V246</f>
        <v>7.32</v>
      </c>
    </row>
    <row r="247" spans="1:52" ht="30" x14ac:dyDescent="0.2">
      <c r="A247" s="239">
        <v>281</v>
      </c>
      <c r="B247" s="197" t="s">
        <v>118</v>
      </c>
      <c r="C247" s="197" t="s">
        <v>112</v>
      </c>
      <c r="D247" s="246" t="s">
        <v>420</v>
      </c>
      <c r="E247" s="243" t="s">
        <v>804</v>
      </c>
      <c r="F247" s="250">
        <v>4.45</v>
      </c>
      <c r="G247" s="251">
        <f t="shared" si="17"/>
        <v>2.4</v>
      </c>
      <c r="H247" s="248">
        <v>2400</v>
      </c>
      <c r="I247" s="246" t="s">
        <v>654</v>
      </c>
      <c r="J247" s="246" t="s">
        <v>70</v>
      </c>
      <c r="K247" s="246" t="s">
        <v>756</v>
      </c>
      <c r="L247" s="243"/>
      <c r="M247" s="197">
        <v>8.8000000000000007</v>
      </c>
      <c r="N247" s="197">
        <f>2.2</f>
        <v>2.2000000000000002</v>
      </c>
      <c r="O247" s="197">
        <f>M247-N247</f>
        <v>6.6000000000000005</v>
      </c>
      <c r="U247" s="197">
        <f>0.85*2.4</f>
        <v>2.04</v>
      </c>
      <c r="AP247" s="197">
        <f>N247*2.67-T247</f>
        <v>5.8740000000000006</v>
      </c>
      <c r="AR247" s="197">
        <f>O247*G247-U247</f>
        <v>13.8</v>
      </c>
    </row>
    <row r="248" spans="1:52" ht="30" x14ac:dyDescent="0.2">
      <c r="A248" s="239">
        <v>282</v>
      </c>
      <c r="B248" s="197" t="s">
        <v>118</v>
      </c>
      <c r="C248" s="197" t="s">
        <v>112</v>
      </c>
      <c r="D248" s="246" t="s">
        <v>374</v>
      </c>
      <c r="E248" s="243" t="s">
        <v>806</v>
      </c>
      <c r="F248" s="250">
        <v>6.8</v>
      </c>
      <c r="G248" s="251">
        <f t="shared" si="17"/>
        <v>2.4</v>
      </c>
      <c r="H248" s="248">
        <v>2400</v>
      </c>
      <c r="I248" s="246" t="s">
        <v>654</v>
      </c>
      <c r="J248" s="246" t="s">
        <v>34</v>
      </c>
      <c r="K248" s="246" t="s">
        <v>756</v>
      </c>
      <c r="L248" s="243"/>
      <c r="M248" s="197">
        <v>14</v>
      </c>
      <c r="N248" s="197">
        <f>M248</f>
        <v>14</v>
      </c>
      <c r="AP248" s="197">
        <f>N248*G248-T248</f>
        <v>33.6</v>
      </c>
    </row>
    <row r="249" spans="1:52" ht="30" x14ac:dyDescent="0.2">
      <c r="A249" s="197">
        <v>283</v>
      </c>
      <c r="B249" s="197" t="s">
        <v>118</v>
      </c>
      <c r="C249" s="197" t="s">
        <v>112</v>
      </c>
      <c r="D249" s="246" t="s">
        <v>453</v>
      </c>
      <c r="E249" s="243" t="s">
        <v>841</v>
      </c>
      <c r="F249" s="250">
        <v>8.15</v>
      </c>
      <c r="G249" s="251">
        <f t="shared" si="17"/>
        <v>2.4</v>
      </c>
      <c r="H249" s="248">
        <v>2400</v>
      </c>
      <c r="I249" s="246" t="s">
        <v>656</v>
      </c>
      <c r="J249" s="246" t="s">
        <v>89</v>
      </c>
      <c r="K249" s="246" t="s">
        <v>763</v>
      </c>
      <c r="L249" s="243"/>
      <c r="M249" s="197">
        <v>12.05</v>
      </c>
      <c r="N249" s="197">
        <f>0.2+0.8</f>
        <v>1</v>
      </c>
      <c r="O249" s="197">
        <f>M249-P249-N249</f>
        <v>7.3000000000000007</v>
      </c>
      <c r="P249" s="197">
        <f>0.6*2+2.55</f>
        <v>3.75</v>
      </c>
      <c r="U249" s="197">
        <f>1.8*2.4</f>
        <v>4.32</v>
      </c>
      <c r="AM249" s="197">
        <f>N249*G249-T249</f>
        <v>2.4</v>
      </c>
      <c r="AP249" s="197">
        <f>O249*G249-U249</f>
        <v>13.2</v>
      </c>
      <c r="AR249" s="197">
        <f>P249*G249-V249</f>
        <v>9</v>
      </c>
    </row>
    <row r="250" spans="1:52" x14ac:dyDescent="0.2">
      <c r="A250" s="239">
        <v>284</v>
      </c>
      <c r="B250" s="197" t="s">
        <v>118</v>
      </c>
      <c r="C250" s="197" t="s">
        <v>112</v>
      </c>
      <c r="D250" s="265" t="s">
        <v>394</v>
      </c>
      <c r="E250" s="243" t="s">
        <v>843</v>
      </c>
      <c r="F250" s="250">
        <v>8.0500000000000007</v>
      </c>
      <c r="G250" s="251">
        <f t="shared" si="17"/>
        <v>2.4</v>
      </c>
      <c r="H250" s="248">
        <v>2400</v>
      </c>
      <c r="I250" s="246" t="s">
        <v>656</v>
      </c>
      <c r="J250" s="246" t="s">
        <v>36</v>
      </c>
      <c r="K250" s="246" t="s">
        <v>756</v>
      </c>
      <c r="L250" s="243"/>
      <c r="AM250" s="197">
        <f>N250*G250-T250</f>
        <v>0</v>
      </c>
      <c r="AP250" s="197">
        <f>O250*G250-U250</f>
        <v>0</v>
      </c>
    </row>
    <row r="251" spans="1:52" x14ac:dyDescent="0.2">
      <c r="A251" s="239">
        <v>285</v>
      </c>
      <c r="B251" s="197" t="s">
        <v>118</v>
      </c>
      <c r="C251" s="197" t="s">
        <v>112</v>
      </c>
      <c r="D251" s="265" t="s">
        <v>410</v>
      </c>
      <c r="E251" s="243" t="s">
        <v>845</v>
      </c>
      <c r="F251" s="250">
        <v>17.399999999999999</v>
      </c>
      <c r="G251" s="251">
        <f t="shared" si="17"/>
        <v>2.4</v>
      </c>
      <c r="H251" s="248">
        <v>2400</v>
      </c>
      <c r="I251" s="246" t="s">
        <v>656</v>
      </c>
      <c r="J251" s="246" t="s">
        <v>90</v>
      </c>
      <c r="K251" s="246" t="s">
        <v>763</v>
      </c>
      <c r="L251" s="243"/>
      <c r="AM251" s="197">
        <f>N251*G251-T251</f>
        <v>0</v>
      </c>
      <c r="AP251" s="197">
        <f>O251*G251-U251</f>
        <v>0</v>
      </c>
    </row>
    <row r="252" spans="1:52" ht="60" x14ac:dyDescent="0.2">
      <c r="A252" s="197">
        <v>286</v>
      </c>
      <c r="B252" s="197" t="s">
        <v>118</v>
      </c>
      <c r="C252" s="197" t="s">
        <v>112</v>
      </c>
      <c r="D252" s="265" t="s">
        <v>482</v>
      </c>
      <c r="E252" s="243" t="s">
        <v>847</v>
      </c>
      <c r="F252" s="250">
        <v>71.400000000000006</v>
      </c>
      <c r="G252" s="251">
        <f t="shared" si="17"/>
        <v>2.83</v>
      </c>
      <c r="H252" s="248">
        <v>2830</v>
      </c>
      <c r="I252" s="246" t="s">
        <v>656</v>
      </c>
      <c r="J252" s="246" t="s">
        <v>316</v>
      </c>
      <c r="K252" s="246" t="s">
        <v>836</v>
      </c>
      <c r="L252" s="243"/>
      <c r="M252" s="197">
        <f>99.7+1.26*5-9.45-6.5</f>
        <v>90.05</v>
      </c>
      <c r="N252" s="197">
        <f>1.6+1.26*5+0.2+0.6</f>
        <v>8.6999999999999993</v>
      </c>
      <c r="O252" s="197">
        <f>(0.325*2+2.25)*6</f>
        <v>17.399999999999999</v>
      </c>
      <c r="P252" s="197">
        <f>M252-R252-O252-N252-Q252</f>
        <v>53.739999999999981</v>
      </c>
      <c r="Q252" s="197">
        <f>3.2</f>
        <v>3.2</v>
      </c>
      <c r="R252" s="197">
        <f>0.45+6.56</f>
        <v>7.01</v>
      </c>
      <c r="V252" s="197">
        <f>2.45*2.85+2.45*2.85</f>
        <v>13.965000000000002</v>
      </c>
      <c r="AM252" s="197">
        <f>N252*G252-T252</f>
        <v>24.620999999999999</v>
      </c>
      <c r="AN252" s="197">
        <f>O252*G252-U252</f>
        <v>49.241999999999997</v>
      </c>
      <c r="AP252" s="197">
        <f>P252*G252-V252</f>
        <v>138.11919999999995</v>
      </c>
      <c r="AQ252" s="197">
        <f>Q252*G252-W252</f>
        <v>9.0560000000000009</v>
      </c>
      <c r="AZ252" s="197">
        <f>R252*G252-X252</f>
        <v>19.8383</v>
      </c>
    </row>
    <row r="253" spans="1:52" x14ac:dyDescent="0.2">
      <c r="A253" s="239">
        <v>287</v>
      </c>
      <c r="B253" s="197" t="s">
        <v>118</v>
      </c>
      <c r="C253" s="197" t="s">
        <v>112</v>
      </c>
      <c r="D253" s="246" t="s">
        <v>360</v>
      </c>
      <c r="E253" s="243" t="s">
        <v>1284</v>
      </c>
      <c r="F253" s="244"/>
      <c r="G253" s="244"/>
      <c r="H253" s="242"/>
      <c r="I253" s="242"/>
      <c r="J253" s="242"/>
      <c r="K253" s="242"/>
      <c r="L253" s="245"/>
    </row>
    <row r="254" spans="1:52" x14ac:dyDescent="0.2">
      <c r="A254" s="239">
        <v>288</v>
      </c>
      <c r="B254" s="197" t="s">
        <v>118</v>
      </c>
      <c r="C254" s="197" t="s">
        <v>112</v>
      </c>
      <c r="D254" s="246" t="s">
        <v>361</v>
      </c>
      <c r="E254" s="243" t="s">
        <v>1284</v>
      </c>
      <c r="F254" s="244"/>
      <c r="G254" s="244"/>
      <c r="H254" s="242"/>
      <c r="I254" s="242"/>
      <c r="J254" s="242"/>
      <c r="K254" s="242"/>
      <c r="L254" s="245"/>
    </row>
    <row r="255" spans="1:52" ht="30" x14ac:dyDescent="0.2">
      <c r="A255" s="197">
        <v>289</v>
      </c>
      <c r="B255" s="197" t="s">
        <v>118</v>
      </c>
      <c r="C255" s="197" t="s">
        <v>112</v>
      </c>
      <c r="D255" s="246" t="s">
        <v>764</v>
      </c>
      <c r="E255" s="243" t="s">
        <v>765</v>
      </c>
      <c r="F255" s="250">
        <v>20.8</v>
      </c>
      <c r="G255" s="251">
        <f>H255/1000</f>
        <v>2.67</v>
      </c>
      <c r="H255" s="248">
        <v>2670</v>
      </c>
      <c r="I255" s="246" t="s">
        <v>766</v>
      </c>
      <c r="J255" s="246" t="s">
        <v>91</v>
      </c>
      <c r="K255" s="246" t="s">
        <v>767</v>
      </c>
      <c r="L255" s="243"/>
      <c r="M255" s="197">
        <v>20.399999999999999</v>
      </c>
      <c r="N255" s="197">
        <f>3.5+0.42*2+3.3</f>
        <v>7.64</v>
      </c>
      <c r="O255" s="197">
        <v>5.8250000000000002</v>
      </c>
      <c r="P255" s="197">
        <f>M255-N255-O255</f>
        <v>6.9349999999999978</v>
      </c>
      <c r="T255" s="197">
        <f>3.3*2.55</f>
        <v>8.4149999999999991</v>
      </c>
      <c r="AP255" s="197">
        <f>N255*G255-T255</f>
        <v>11.983799999999999</v>
      </c>
      <c r="AQ255" s="197">
        <f>O255*G255-U255</f>
        <v>15.55275</v>
      </c>
      <c r="AT255" s="197">
        <f>P255*G255-V255</f>
        <v>18.516449999999995</v>
      </c>
    </row>
    <row r="256" spans="1:52" x14ac:dyDescent="0.2">
      <c r="A256" s="239">
        <v>290</v>
      </c>
      <c r="B256" s="197" t="s">
        <v>118</v>
      </c>
      <c r="C256" s="197" t="s">
        <v>112</v>
      </c>
      <c r="D256" s="246" t="s">
        <v>405</v>
      </c>
      <c r="E256" s="243" t="s">
        <v>769</v>
      </c>
      <c r="F256" s="250">
        <v>2.5</v>
      </c>
      <c r="G256" s="251">
        <f>H256/1000</f>
        <v>2.4</v>
      </c>
      <c r="H256" s="248">
        <v>2400</v>
      </c>
      <c r="I256" s="246" t="s">
        <v>766</v>
      </c>
      <c r="J256" s="246" t="s">
        <v>46</v>
      </c>
      <c r="K256" s="246" t="s">
        <v>756</v>
      </c>
      <c r="L256" s="243"/>
      <c r="M256" s="197">
        <f>O256+N256</f>
        <v>3.55</v>
      </c>
      <c r="N256" s="197">
        <v>2.2999999999999998</v>
      </c>
      <c r="O256" s="197">
        <f>0.35*2+0.55</f>
        <v>1.25</v>
      </c>
      <c r="AP256" s="197">
        <f>N256*G256-T256</f>
        <v>5.52</v>
      </c>
      <c r="AQ256" s="197">
        <f>O256*G256-U256</f>
        <v>3</v>
      </c>
    </row>
    <row r="257" spans="1:51" x14ac:dyDescent="0.2">
      <c r="A257" s="239">
        <v>291</v>
      </c>
      <c r="B257" s="197" t="s">
        <v>118</v>
      </c>
      <c r="C257" s="197" t="s">
        <v>112</v>
      </c>
      <c r="D257" s="246" t="s">
        <v>469</v>
      </c>
      <c r="E257" s="243" t="s">
        <v>771</v>
      </c>
      <c r="F257" s="250">
        <v>2.15</v>
      </c>
      <c r="G257" s="251">
        <f>H257/1000</f>
        <v>2.4</v>
      </c>
      <c r="H257" s="248">
        <v>2400</v>
      </c>
      <c r="I257" s="246" t="s">
        <v>766</v>
      </c>
      <c r="J257" s="246" t="s">
        <v>46</v>
      </c>
      <c r="K257" s="246" t="s">
        <v>763</v>
      </c>
      <c r="L257" s="243"/>
      <c r="M257" s="197">
        <f>6.45-1.5</f>
        <v>4.95</v>
      </c>
      <c r="N257" s="197">
        <f>1.155+0.6</f>
        <v>1.7549999999999999</v>
      </c>
      <c r="O257" s="197">
        <f>M257-N257</f>
        <v>3.1950000000000003</v>
      </c>
      <c r="AP257" s="197">
        <f>N257*G257-T257</f>
        <v>4.2119999999999997</v>
      </c>
      <c r="AQ257" s="197">
        <f>O257*G257-U257</f>
        <v>7.6680000000000001</v>
      </c>
    </row>
    <row r="258" spans="1:51" x14ac:dyDescent="0.2">
      <c r="A258" s="197">
        <v>292</v>
      </c>
      <c r="B258" s="197" t="s">
        <v>118</v>
      </c>
      <c r="C258" s="197" t="s">
        <v>112</v>
      </c>
      <c r="D258" s="246" t="s">
        <v>848</v>
      </c>
      <c r="E258" s="243" t="s">
        <v>849</v>
      </c>
      <c r="F258" s="250">
        <v>9.25</v>
      </c>
      <c r="G258" s="251">
        <f>H258/1000</f>
        <v>2.67</v>
      </c>
      <c r="H258" s="248">
        <v>2670</v>
      </c>
      <c r="I258" s="246" t="s">
        <v>656</v>
      </c>
      <c r="J258" s="246" t="s">
        <v>46</v>
      </c>
      <c r="K258" s="246" t="s">
        <v>756</v>
      </c>
      <c r="L258" s="243"/>
      <c r="M258" s="197">
        <f>4.2*2+2.2*2</f>
        <v>12.8</v>
      </c>
      <c r="N258" s="197">
        <f>M258-O258</f>
        <v>11</v>
      </c>
      <c r="O258" s="197">
        <v>1.8</v>
      </c>
      <c r="T258" s="197">
        <f>2.2*2.55</f>
        <v>5.61</v>
      </c>
      <c r="AP258" s="197">
        <f>N258*G258-T258</f>
        <v>23.759999999999998</v>
      </c>
      <c r="AQ258" s="197">
        <f>O258*G258-U258</f>
        <v>4.806</v>
      </c>
    </row>
    <row r="259" spans="1:51" x14ac:dyDescent="0.2">
      <c r="A259" s="239">
        <v>293</v>
      </c>
      <c r="B259" s="197" t="s">
        <v>118</v>
      </c>
      <c r="C259" s="197" t="s">
        <v>112</v>
      </c>
      <c r="D259" s="246" t="s">
        <v>432</v>
      </c>
      <c r="E259" s="243" t="s">
        <v>1254</v>
      </c>
      <c r="F259" s="247">
        <v>47.7</v>
      </c>
      <c r="G259" s="247"/>
      <c r="H259" s="246">
        <v>2910</v>
      </c>
      <c r="I259" s="246" t="s">
        <v>1264</v>
      </c>
      <c r="J259" s="246" t="s">
        <v>92</v>
      </c>
      <c r="K259" s="246" t="s">
        <v>677</v>
      </c>
      <c r="L259" s="243"/>
    </row>
    <row r="260" spans="1:51" ht="45" x14ac:dyDescent="0.2">
      <c r="A260" s="239">
        <v>294</v>
      </c>
      <c r="B260" s="197" t="s">
        <v>118</v>
      </c>
      <c r="C260" s="197" t="s">
        <v>112</v>
      </c>
      <c r="D260" s="246" t="s">
        <v>458</v>
      </c>
      <c r="E260" s="243" t="s">
        <v>1242</v>
      </c>
      <c r="F260" s="250">
        <v>27.6</v>
      </c>
      <c r="G260" s="250"/>
      <c r="H260" s="248">
        <v>2910</v>
      </c>
      <c r="I260" s="269" t="s">
        <v>93</v>
      </c>
      <c r="J260" s="246" t="s">
        <v>92</v>
      </c>
      <c r="K260" s="246" t="s">
        <v>677</v>
      </c>
      <c r="L260" s="243"/>
    </row>
    <row r="261" spans="1:51" x14ac:dyDescent="0.2">
      <c r="A261" s="197">
        <v>295</v>
      </c>
      <c r="B261" s="197" t="s">
        <v>118</v>
      </c>
      <c r="C261" s="197" t="s">
        <v>112</v>
      </c>
      <c r="D261" s="246"/>
      <c r="E261" s="243" t="s">
        <v>1286</v>
      </c>
      <c r="F261" s="244"/>
      <c r="G261" s="244"/>
      <c r="H261" s="242"/>
      <c r="I261" s="242"/>
      <c r="J261" s="242"/>
      <c r="K261" s="242"/>
      <c r="L261" s="245"/>
    </row>
    <row r="262" spans="1:51" ht="30" x14ac:dyDescent="0.2">
      <c r="A262" s="239">
        <v>296</v>
      </c>
      <c r="B262" s="197" t="s">
        <v>118</v>
      </c>
      <c r="C262" s="197" t="s">
        <v>112</v>
      </c>
      <c r="D262" s="246" t="s">
        <v>1343</v>
      </c>
      <c r="E262" s="243" t="s">
        <v>1344</v>
      </c>
      <c r="F262" s="250">
        <v>41.7</v>
      </c>
      <c r="G262" s="251">
        <f t="shared" ref="G262:G270" si="18">H262/1000</f>
        <v>2.4002669999999999</v>
      </c>
      <c r="H262" s="248">
        <v>2400.2669999999998</v>
      </c>
      <c r="I262" s="246" t="s">
        <v>1345</v>
      </c>
      <c r="J262" s="246" t="s">
        <v>46</v>
      </c>
      <c r="K262" s="246" t="s">
        <v>1346</v>
      </c>
      <c r="L262" s="243"/>
      <c r="M262" s="197">
        <f>14.9*2+9.15*2+9.2-2.1*2</f>
        <v>53.099999999999994</v>
      </c>
      <c r="N262" s="197">
        <f t="shared" ref="N262:N270" si="19">M262-O262-P262</f>
        <v>43.899999999999991</v>
      </c>
      <c r="O262" s="197">
        <v>9.1999999999999993</v>
      </c>
      <c r="T262" s="197">
        <f t="shared" ref="T262:T270" si="20">(3.26+0.19+3.26)*2.55</f>
        <v>17.110499999999995</v>
      </c>
      <c r="U262" s="197">
        <f t="shared" ref="U262:U270" si="21">1.05*2.4*2</f>
        <v>5.04</v>
      </c>
      <c r="AP262" s="197">
        <f t="shared" ref="AP262:AP270" si="22">N262*2.67-T262</f>
        <v>100.10249999999999</v>
      </c>
      <c r="AQ262" s="197">
        <f t="shared" ref="AQ262:AQ270" si="23">O262*2.4-U262</f>
        <v>17.04</v>
      </c>
    </row>
    <row r="263" spans="1:51" ht="30" x14ac:dyDescent="0.2">
      <c r="A263" s="239">
        <v>297</v>
      </c>
      <c r="B263" s="197" t="s">
        <v>118</v>
      </c>
      <c r="C263" s="197" t="s">
        <v>112</v>
      </c>
      <c r="D263" s="246" t="s">
        <v>1347</v>
      </c>
      <c r="E263" s="243" t="s">
        <v>1344</v>
      </c>
      <c r="F263" s="247">
        <v>41.7</v>
      </c>
      <c r="G263" s="251" t="e">
        <f t="shared" si="18"/>
        <v>#VALUE!</v>
      </c>
      <c r="H263" s="246" t="s">
        <v>1348</v>
      </c>
      <c r="I263" s="246" t="s">
        <v>1345</v>
      </c>
      <c r="J263" s="246" t="s">
        <v>317</v>
      </c>
      <c r="K263" s="246" t="s">
        <v>1349</v>
      </c>
      <c r="L263" s="243"/>
      <c r="M263" s="197">
        <f>14.9*2+9.25*2+9.2-2.1*2</f>
        <v>53.3</v>
      </c>
      <c r="N263" s="197">
        <f t="shared" si="19"/>
        <v>37.799999999999997</v>
      </c>
      <c r="O263" s="197">
        <v>9.1999999999999993</v>
      </c>
      <c r="P263" s="197">
        <v>6.3</v>
      </c>
      <c r="T263" s="197">
        <f t="shared" si="20"/>
        <v>17.110499999999995</v>
      </c>
      <c r="U263" s="197">
        <f t="shared" si="21"/>
        <v>5.04</v>
      </c>
      <c r="AP263" s="197">
        <f t="shared" si="22"/>
        <v>83.815499999999986</v>
      </c>
      <c r="AQ263" s="197">
        <f t="shared" si="23"/>
        <v>17.04</v>
      </c>
      <c r="AY263" s="197">
        <f>P263*2.67-V263</f>
        <v>16.820999999999998</v>
      </c>
    </row>
    <row r="264" spans="1:51" ht="30" x14ac:dyDescent="0.2">
      <c r="A264" s="197">
        <v>298</v>
      </c>
      <c r="B264" s="197" t="s">
        <v>118</v>
      </c>
      <c r="C264" s="197" t="s">
        <v>112</v>
      </c>
      <c r="D264" s="246" t="s">
        <v>1350</v>
      </c>
      <c r="E264" s="243" t="s">
        <v>1344</v>
      </c>
      <c r="F264" s="250">
        <v>41.7</v>
      </c>
      <c r="G264" s="251">
        <f t="shared" si="18"/>
        <v>2.4002669999999999</v>
      </c>
      <c r="H264" s="248">
        <v>2400.2669999999998</v>
      </c>
      <c r="I264" s="246" t="s">
        <v>1345</v>
      </c>
      <c r="J264" s="246" t="s">
        <v>46</v>
      </c>
      <c r="K264" s="246" t="s">
        <v>1349</v>
      </c>
      <c r="L264" s="243"/>
      <c r="M264" s="197">
        <f>14.9*2+9.15*2+9.2-2.1*2</f>
        <v>53.099999999999994</v>
      </c>
      <c r="N264" s="197">
        <f t="shared" si="19"/>
        <v>43.899999999999991</v>
      </c>
      <c r="O264" s="197">
        <v>9.1999999999999993</v>
      </c>
      <c r="T264" s="197">
        <f t="shared" si="20"/>
        <v>17.110499999999995</v>
      </c>
      <c r="U264" s="197">
        <f t="shared" si="21"/>
        <v>5.04</v>
      </c>
      <c r="AP264" s="197">
        <f t="shared" si="22"/>
        <v>100.10249999999999</v>
      </c>
      <c r="AQ264" s="197">
        <f t="shared" si="23"/>
        <v>17.04</v>
      </c>
    </row>
    <row r="265" spans="1:51" ht="30" x14ac:dyDescent="0.2">
      <c r="A265" s="239">
        <v>299</v>
      </c>
      <c r="B265" s="197" t="s">
        <v>118</v>
      </c>
      <c r="C265" s="197" t="s">
        <v>112</v>
      </c>
      <c r="D265" s="246" t="s">
        <v>1351</v>
      </c>
      <c r="E265" s="243" t="s">
        <v>1344</v>
      </c>
      <c r="F265" s="247">
        <v>41.7</v>
      </c>
      <c r="G265" s="251">
        <f t="shared" si="18"/>
        <v>2.4002669999999999</v>
      </c>
      <c r="H265" s="248">
        <v>2400.2669999999998</v>
      </c>
      <c r="I265" s="246" t="s">
        <v>1345</v>
      </c>
      <c r="J265" s="246" t="s">
        <v>46</v>
      </c>
      <c r="K265" s="246" t="s">
        <v>1352</v>
      </c>
      <c r="L265" s="243"/>
      <c r="M265" s="197">
        <f>14.9*2+9.15*2+9.2-2.1*2</f>
        <v>53.099999999999994</v>
      </c>
      <c r="N265" s="197">
        <f t="shared" si="19"/>
        <v>43.899999999999991</v>
      </c>
      <c r="O265" s="197">
        <v>9.1999999999999993</v>
      </c>
      <c r="T265" s="197">
        <f t="shared" si="20"/>
        <v>17.110499999999995</v>
      </c>
      <c r="U265" s="197">
        <f t="shared" si="21"/>
        <v>5.04</v>
      </c>
      <c r="AP265" s="197">
        <f t="shared" si="22"/>
        <v>100.10249999999999</v>
      </c>
      <c r="AQ265" s="197">
        <f t="shared" si="23"/>
        <v>17.04</v>
      </c>
    </row>
    <row r="266" spans="1:51" ht="30" x14ac:dyDescent="0.2">
      <c r="A266" s="239">
        <v>300</v>
      </c>
      <c r="B266" s="197" t="s">
        <v>118</v>
      </c>
      <c r="C266" s="197" t="s">
        <v>112</v>
      </c>
      <c r="D266" s="246" t="s">
        <v>1353</v>
      </c>
      <c r="E266" s="243" t="s">
        <v>1344</v>
      </c>
      <c r="F266" s="247">
        <v>41.7</v>
      </c>
      <c r="G266" s="251">
        <f t="shared" si="18"/>
        <v>2.4002669999999999</v>
      </c>
      <c r="H266" s="248">
        <v>2400.2669999999998</v>
      </c>
      <c r="I266" s="246" t="s">
        <v>1345</v>
      </c>
      <c r="J266" s="246" t="s">
        <v>317</v>
      </c>
      <c r="K266" s="246" t="s">
        <v>1349</v>
      </c>
      <c r="L266" s="243"/>
      <c r="M266" s="197">
        <f>14.9*2+9.25*2+9.2-2.1*2</f>
        <v>53.3</v>
      </c>
      <c r="N266" s="197">
        <f t="shared" si="19"/>
        <v>37.799999999999997</v>
      </c>
      <c r="O266" s="197">
        <v>9.1999999999999993</v>
      </c>
      <c r="P266" s="197">
        <v>6.3</v>
      </c>
      <c r="T266" s="197">
        <f t="shared" si="20"/>
        <v>17.110499999999995</v>
      </c>
      <c r="U266" s="197">
        <f t="shared" si="21"/>
        <v>5.04</v>
      </c>
      <c r="AP266" s="197">
        <f t="shared" si="22"/>
        <v>83.815499999999986</v>
      </c>
      <c r="AQ266" s="197">
        <f t="shared" si="23"/>
        <v>17.04</v>
      </c>
      <c r="AY266" s="197">
        <f>P266*2.67-V266</f>
        <v>16.820999999999998</v>
      </c>
    </row>
    <row r="267" spans="1:51" ht="30" x14ac:dyDescent="0.2">
      <c r="A267" s="197">
        <v>301</v>
      </c>
      <c r="B267" s="197" t="s">
        <v>118</v>
      </c>
      <c r="C267" s="197" t="s">
        <v>112</v>
      </c>
      <c r="D267" s="246" t="s">
        <v>1354</v>
      </c>
      <c r="E267" s="243" t="s">
        <v>1344</v>
      </c>
      <c r="F267" s="247">
        <v>41.7</v>
      </c>
      <c r="G267" s="251" t="e">
        <f t="shared" si="18"/>
        <v>#VALUE!</v>
      </c>
      <c r="H267" s="246" t="s">
        <v>1348</v>
      </c>
      <c r="I267" s="246" t="s">
        <v>1345</v>
      </c>
      <c r="J267" s="246" t="s">
        <v>46</v>
      </c>
      <c r="K267" s="246" t="s">
        <v>1355</v>
      </c>
      <c r="L267" s="243"/>
      <c r="M267" s="197">
        <f>14.9*2+9.15*2+9.2-2.1*2</f>
        <v>53.099999999999994</v>
      </c>
      <c r="N267" s="197">
        <f t="shared" si="19"/>
        <v>43.899999999999991</v>
      </c>
      <c r="O267" s="197">
        <v>9.1999999999999993</v>
      </c>
      <c r="T267" s="197">
        <f t="shared" si="20"/>
        <v>17.110499999999995</v>
      </c>
      <c r="U267" s="197">
        <f t="shared" si="21"/>
        <v>5.04</v>
      </c>
      <c r="AP267" s="197">
        <f t="shared" si="22"/>
        <v>100.10249999999999</v>
      </c>
      <c r="AQ267" s="197">
        <f t="shared" si="23"/>
        <v>17.04</v>
      </c>
    </row>
    <row r="268" spans="1:51" ht="30" x14ac:dyDescent="0.2">
      <c r="A268" s="239">
        <v>302</v>
      </c>
      <c r="B268" s="197" t="s">
        <v>118</v>
      </c>
      <c r="C268" s="197" t="s">
        <v>112</v>
      </c>
      <c r="D268" s="246" t="s">
        <v>1356</v>
      </c>
      <c r="E268" s="243" t="s">
        <v>1344</v>
      </c>
      <c r="F268" s="250">
        <v>41.7</v>
      </c>
      <c r="G268" s="251">
        <f t="shared" si="18"/>
        <v>2.4002669999999999</v>
      </c>
      <c r="H268" s="248">
        <v>2400.2669999999998</v>
      </c>
      <c r="I268" s="246" t="s">
        <v>1345</v>
      </c>
      <c r="J268" s="246" t="s">
        <v>317</v>
      </c>
      <c r="K268" s="246" t="s">
        <v>1349</v>
      </c>
      <c r="L268" s="243"/>
      <c r="M268" s="197">
        <f>14.9*2+9.25*2+9.2-2.1*2</f>
        <v>53.3</v>
      </c>
      <c r="N268" s="197">
        <f t="shared" si="19"/>
        <v>37.799999999999997</v>
      </c>
      <c r="O268" s="197">
        <v>9.1999999999999993</v>
      </c>
      <c r="P268" s="197">
        <v>6.3</v>
      </c>
      <c r="T268" s="197">
        <f t="shared" si="20"/>
        <v>17.110499999999995</v>
      </c>
      <c r="U268" s="197">
        <f t="shared" si="21"/>
        <v>5.04</v>
      </c>
      <c r="AP268" s="197">
        <f t="shared" si="22"/>
        <v>83.815499999999986</v>
      </c>
      <c r="AQ268" s="197">
        <f t="shared" si="23"/>
        <v>17.04</v>
      </c>
      <c r="AY268" s="197">
        <f>P268*2.67-V268</f>
        <v>16.820999999999998</v>
      </c>
    </row>
    <row r="269" spans="1:51" ht="30" x14ac:dyDescent="0.2">
      <c r="A269" s="239">
        <v>303</v>
      </c>
      <c r="B269" s="197" t="s">
        <v>118</v>
      </c>
      <c r="C269" s="197" t="s">
        <v>112</v>
      </c>
      <c r="D269" s="246" t="s">
        <v>1357</v>
      </c>
      <c r="E269" s="243" t="s">
        <v>1344</v>
      </c>
      <c r="F269" s="250">
        <v>41.7</v>
      </c>
      <c r="G269" s="251">
        <f t="shared" si="18"/>
        <v>2.4002669999999999</v>
      </c>
      <c r="H269" s="248">
        <v>2400.2669999999998</v>
      </c>
      <c r="I269" s="246" t="s">
        <v>1345</v>
      </c>
      <c r="J269" s="246" t="s">
        <v>317</v>
      </c>
      <c r="K269" s="246" t="s">
        <v>1349</v>
      </c>
      <c r="L269" s="243"/>
      <c r="M269" s="197">
        <f>14.9*2+9.25*2+9.2-2.1*2</f>
        <v>53.3</v>
      </c>
      <c r="N269" s="197">
        <f t="shared" si="19"/>
        <v>37.799999999999997</v>
      </c>
      <c r="O269" s="197">
        <v>9.1999999999999993</v>
      </c>
      <c r="P269" s="197">
        <v>6.3</v>
      </c>
      <c r="T269" s="197">
        <f t="shared" si="20"/>
        <v>17.110499999999995</v>
      </c>
      <c r="U269" s="197">
        <f t="shared" si="21"/>
        <v>5.04</v>
      </c>
      <c r="AP269" s="197">
        <f t="shared" si="22"/>
        <v>83.815499999999986</v>
      </c>
      <c r="AQ269" s="197">
        <f t="shared" si="23"/>
        <v>17.04</v>
      </c>
      <c r="AY269" s="197">
        <f>P269*2.67-V269</f>
        <v>16.820999999999998</v>
      </c>
    </row>
    <row r="270" spans="1:51" ht="30" x14ac:dyDescent="0.2">
      <c r="A270" s="197">
        <v>304</v>
      </c>
      <c r="B270" s="197" t="s">
        <v>118</v>
      </c>
      <c r="C270" s="197" t="s">
        <v>112</v>
      </c>
      <c r="D270" s="246" t="s">
        <v>1358</v>
      </c>
      <c r="E270" s="243" t="s">
        <v>1344</v>
      </c>
      <c r="F270" s="250">
        <v>41.7</v>
      </c>
      <c r="G270" s="251">
        <f t="shared" si="18"/>
        <v>2.4002669999999999</v>
      </c>
      <c r="H270" s="248">
        <v>2400.2669999999998</v>
      </c>
      <c r="I270" s="246" t="s">
        <v>1359</v>
      </c>
      <c r="J270" s="246" t="s">
        <v>317</v>
      </c>
      <c r="K270" s="246" t="s">
        <v>1349</v>
      </c>
      <c r="L270" s="243"/>
      <c r="M270" s="197">
        <f>14.9*2+9.25*2+9.2-2.1*2</f>
        <v>53.3</v>
      </c>
      <c r="N270" s="197">
        <f t="shared" si="19"/>
        <v>37.799999999999997</v>
      </c>
      <c r="O270" s="197">
        <v>9.1999999999999993</v>
      </c>
      <c r="P270" s="197">
        <v>6.3</v>
      </c>
      <c r="T270" s="197">
        <f t="shared" si="20"/>
        <v>17.110499999999995</v>
      </c>
      <c r="U270" s="197">
        <f t="shared" si="21"/>
        <v>5.04</v>
      </c>
      <c r="AP270" s="197">
        <f t="shared" si="22"/>
        <v>83.815499999999986</v>
      </c>
      <c r="AQ270" s="197">
        <f t="shared" si="23"/>
        <v>17.04</v>
      </c>
      <c r="AY270" s="197">
        <f>P270*2.67-V270</f>
        <v>16.820999999999998</v>
      </c>
    </row>
    <row r="271" spans="1:51" x14ac:dyDescent="0.2">
      <c r="A271" s="197">
        <v>310</v>
      </c>
      <c r="B271" s="197" t="s">
        <v>118</v>
      </c>
      <c r="C271" s="197" t="s">
        <v>113</v>
      </c>
      <c r="D271" s="246"/>
      <c r="E271" s="243" t="s">
        <v>1273</v>
      </c>
      <c r="F271" s="244"/>
      <c r="G271" s="244"/>
      <c r="H271" s="242"/>
      <c r="I271" s="242"/>
      <c r="J271" s="242"/>
      <c r="K271" s="242"/>
      <c r="L271" s="270"/>
    </row>
    <row r="272" spans="1:51" x14ac:dyDescent="0.2">
      <c r="A272" s="239">
        <v>311</v>
      </c>
      <c r="B272" s="197" t="s">
        <v>118</v>
      </c>
      <c r="C272" s="197" t="s">
        <v>113</v>
      </c>
      <c r="D272" s="246"/>
      <c r="E272" s="243" t="s">
        <v>1270</v>
      </c>
      <c r="F272" s="244"/>
      <c r="G272" s="244"/>
      <c r="H272" s="242"/>
      <c r="I272" s="242"/>
      <c r="J272" s="242"/>
      <c r="K272" s="242"/>
      <c r="L272" s="270"/>
    </row>
    <row r="273" spans="1:52" x14ac:dyDescent="0.2">
      <c r="A273" s="239">
        <v>312</v>
      </c>
      <c r="B273" s="197" t="s">
        <v>118</v>
      </c>
      <c r="C273" s="197" t="s">
        <v>113</v>
      </c>
      <c r="D273" s="246" t="s">
        <v>352</v>
      </c>
      <c r="E273" s="243" t="s">
        <v>673</v>
      </c>
      <c r="F273" s="247">
        <v>42.5</v>
      </c>
      <c r="G273" s="251">
        <f>H273/1000</f>
        <v>2.61</v>
      </c>
      <c r="H273" s="248">
        <v>2610</v>
      </c>
      <c r="I273" s="246" t="s">
        <v>1031</v>
      </c>
      <c r="J273" s="246" t="s">
        <v>85</v>
      </c>
      <c r="K273" s="246" t="s">
        <v>1032</v>
      </c>
      <c r="L273" s="271"/>
      <c r="M273" s="197">
        <f>31.5+10.2</f>
        <v>41.7</v>
      </c>
      <c r="N273" s="197">
        <f>M273-Q273-P273-O273</f>
        <v>32.825000000000003</v>
      </c>
      <c r="O273" s="197">
        <v>1.9</v>
      </c>
      <c r="P273" s="197">
        <f>0.815+0.15+1.31</f>
        <v>2.2749999999999999</v>
      </c>
      <c r="Q273" s="197">
        <f>4.4+0.15*2</f>
        <v>4.7</v>
      </c>
      <c r="T273" s="197">
        <f>4.65*2.55+4.1*2.55+2.55*2.655+1.1*2.1</f>
        <v>31.392749999999999</v>
      </c>
      <c r="AM273" s="197">
        <f>N273*G273-T273</f>
        <v>54.280500000000011</v>
      </c>
      <c r="AN273" s="197">
        <f>O273*G273-U273</f>
        <v>4.9589999999999996</v>
      </c>
      <c r="AO273" s="197">
        <f>P273*G273-V273</f>
        <v>5.9377499999999994</v>
      </c>
      <c r="AZ273" s="197">
        <f>Q273*G273-W273</f>
        <v>12.266999999999999</v>
      </c>
    </row>
    <row r="274" spans="1:52" x14ac:dyDescent="0.2">
      <c r="A274" s="197">
        <v>313</v>
      </c>
      <c r="B274" s="197" t="s">
        <v>118</v>
      </c>
      <c r="C274" s="197" t="s">
        <v>113</v>
      </c>
      <c r="D274" s="246" t="s">
        <v>646</v>
      </c>
      <c r="E274" s="243" t="s">
        <v>641</v>
      </c>
      <c r="F274" s="250">
        <v>6.1</v>
      </c>
      <c r="G274" s="251" t="e">
        <f>H274/1000</f>
        <v>#VALUE!</v>
      </c>
      <c r="H274" s="242" t="s">
        <v>9</v>
      </c>
      <c r="I274" s="242" t="s">
        <v>9</v>
      </c>
      <c r="J274" s="246" t="s">
        <v>8</v>
      </c>
      <c r="K274" s="242"/>
      <c r="L274" s="270"/>
    </row>
    <row r="275" spans="1:52" x14ac:dyDescent="0.2">
      <c r="A275" s="239">
        <v>314</v>
      </c>
      <c r="B275" s="197" t="s">
        <v>118</v>
      </c>
      <c r="C275" s="197" t="s">
        <v>113</v>
      </c>
      <c r="D275" s="246" t="s">
        <v>383</v>
      </c>
      <c r="E275" s="243" t="s">
        <v>644</v>
      </c>
      <c r="F275" s="250">
        <v>4.4000000000000004</v>
      </c>
      <c r="G275" s="251" t="e">
        <f>H275/1000</f>
        <v>#VALUE!</v>
      </c>
      <c r="H275" s="242" t="s">
        <v>9</v>
      </c>
      <c r="I275" s="242" t="s">
        <v>9</v>
      </c>
      <c r="J275" s="246" t="s">
        <v>8</v>
      </c>
      <c r="K275" s="242"/>
      <c r="L275" s="270"/>
    </row>
    <row r="276" spans="1:52" x14ac:dyDescent="0.2">
      <c r="A276" s="239">
        <v>315</v>
      </c>
      <c r="B276" s="197" t="s">
        <v>118</v>
      </c>
      <c r="C276" s="197" t="s">
        <v>113</v>
      </c>
      <c r="D276" s="265" t="s">
        <v>324</v>
      </c>
      <c r="E276" s="243" t="s">
        <v>679</v>
      </c>
      <c r="F276" s="250">
        <v>50.2</v>
      </c>
      <c r="G276" s="250"/>
      <c r="H276" s="248">
        <v>2830</v>
      </c>
      <c r="I276" s="246" t="s">
        <v>656</v>
      </c>
      <c r="J276" s="242" t="s">
        <v>81</v>
      </c>
      <c r="K276" s="246" t="s">
        <v>836</v>
      </c>
      <c r="L276" s="271"/>
    </row>
    <row r="277" spans="1:52" x14ac:dyDescent="0.2">
      <c r="A277" s="197">
        <v>316</v>
      </c>
      <c r="B277" s="197" t="s">
        <v>118</v>
      </c>
      <c r="C277" s="197" t="s">
        <v>113</v>
      </c>
      <c r="D277" s="265" t="s">
        <v>321</v>
      </c>
      <c r="E277" s="243" t="s">
        <v>679</v>
      </c>
      <c r="F277" s="250">
        <v>35.5</v>
      </c>
      <c r="G277" s="251">
        <f t="shared" ref="G277:G286" si="24">H277/1000</f>
        <v>2.83</v>
      </c>
      <c r="H277" s="248">
        <v>2830</v>
      </c>
      <c r="I277" s="246" t="s">
        <v>656</v>
      </c>
      <c r="J277" s="246" t="s">
        <v>73</v>
      </c>
      <c r="K277" s="246" t="s">
        <v>836</v>
      </c>
      <c r="L277" s="271"/>
    </row>
    <row r="278" spans="1:52" x14ac:dyDescent="0.2">
      <c r="A278" s="239">
        <v>317</v>
      </c>
      <c r="B278" s="197" t="s">
        <v>118</v>
      </c>
      <c r="C278" s="197" t="s">
        <v>113</v>
      </c>
      <c r="D278" s="265" t="s">
        <v>318</v>
      </c>
      <c r="E278" s="243" t="s">
        <v>679</v>
      </c>
      <c r="F278" s="250">
        <v>18.5</v>
      </c>
      <c r="G278" s="251">
        <f t="shared" si="24"/>
        <v>2.83</v>
      </c>
      <c r="H278" s="248">
        <v>2830</v>
      </c>
      <c r="I278" s="246" t="s">
        <v>656</v>
      </c>
      <c r="J278" s="246" t="s">
        <v>95</v>
      </c>
      <c r="K278" s="246" t="s">
        <v>836</v>
      </c>
      <c r="L278" s="271"/>
    </row>
    <row r="279" spans="1:52" x14ac:dyDescent="0.2">
      <c r="A279" s="239">
        <v>318</v>
      </c>
      <c r="B279" s="197" t="s">
        <v>118</v>
      </c>
      <c r="C279" s="197" t="s">
        <v>113</v>
      </c>
      <c r="D279" s="246" t="s">
        <v>344</v>
      </c>
      <c r="E279" s="243" t="s">
        <v>679</v>
      </c>
      <c r="F279" s="250">
        <v>68</v>
      </c>
      <c r="G279" s="251">
        <f t="shared" si="24"/>
        <v>2.83</v>
      </c>
      <c r="H279" s="248">
        <v>2830</v>
      </c>
      <c r="I279" s="246" t="s">
        <v>656</v>
      </c>
      <c r="J279" s="246" t="s">
        <v>109</v>
      </c>
      <c r="K279" s="246" t="s">
        <v>836</v>
      </c>
      <c r="L279" s="271"/>
      <c r="M279" s="197">
        <v>62.4</v>
      </c>
      <c r="N279" s="197">
        <v>2.4</v>
      </c>
      <c r="O279" s="197">
        <f>(0.325*2+2.25)*3</f>
        <v>8.6999999999999993</v>
      </c>
      <c r="P279" s="197">
        <f>M279-N279-O279-Q279</f>
        <v>37.774999999999999</v>
      </c>
      <c r="Q279" s="197">
        <f>6.5+0.425+6.6</f>
        <v>13.524999999999999</v>
      </c>
      <c r="T279" s="197">
        <f>1.1*2.1</f>
        <v>2.3100000000000005</v>
      </c>
      <c r="V279" s="197">
        <f>2.4*2.55+2.45*2.85*2+2.555*2.55</f>
        <v>26.600250000000003</v>
      </c>
      <c r="AL279" s="197">
        <f>N279*G279-T279</f>
        <v>4.4819999999999993</v>
      </c>
      <c r="AN279" s="197">
        <f>O279*G279-U279</f>
        <v>24.620999999999999</v>
      </c>
      <c r="AO279" s="197">
        <f>P279*G279-V279</f>
        <v>80.302999999999997</v>
      </c>
      <c r="AZ279" s="197">
        <f>Q279*G279-W279</f>
        <v>38.275749999999995</v>
      </c>
    </row>
    <row r="280" spans="1:52" x14ac:dyDescent="0.2">
      <c r="A280" s="197">
        <v>319</v>
      </c>
      <c r="B280" s="197" t="s">
        <v>118</v>
      </c>
      <c r="C280" s="197" t="s">
        <v>113</v>
      </c>
      <c r="D280" s="246" t="s">
        <v>442</v>
      </c>
      <c r="E280" s="243" t="s">
        <v>802</v>
      </c>
      <c r="F280" s="250">
        <v>4.45</v>
      </c>
      <c r="G280" s="251">
        <f t="shared" si="24"/>
        <v>2.4</v>
      </c>
      <c r="H280" s="248">
        <v>2400</v>
      </c>
      <c r="I280" s="246" t="s">
        <v>654</v>
      </c>
      <c r="J280" s="246" t="s">
        <v>60</v>
      </c>
      <c r="K280" s="246" t="s">
        <v>756</v>
      </c>
      <c r="L280" s="243"/>
      <c r="M280" s="197">
        <f>9.8</f>
        <v>9.8000000000000007</v>
      </c>
      <c r="N280" s="197">
        <f>1.5</f>
        <v>1.5</v>
      </c>
      <c r="O280" s="197">
        <f>M280-P280-N280</f>
        <v>5.25</v>
      </c>
      <c r="P280" s="197">
        <f>0.6+2.45</f>
        <v>3.0500000000000003</v>
      </c>
      <c r="AH280" s="197">
        <f>N280*G280-T280</f>
        <v>3.5999999999999996</v>
      </c>
      <c r="AP280" s="197">
        <f>O280*G280-U280</f>
        <v>12.6</v>
      </c>
      <c r="AR280" s="197">
        <f>P280*G280-V280</f>
        <v>7.32</v>
      </c>
    </row>
    <row r="281" spans="1:52" ht="30" x14ac:dyDescent="0.2">
      <c r="A281" s="239">
        <v>320</v>
      </c>
      <c r="B281" s="197" t="s">
        <v>118</v>
      </c>
      <c r="C281" s="197" t="s">
        <v>113</v>
      </c>
      <c r="D281" s="246" t="s">
        <v>421</v>
      </c>
      <c r="E281" s="243" t="s">
        <v>804</v>
      </c>
      <c r="F281" s="247">
        <v>4.45</v>
      </c>
      <c r="G281" s="251">
        <f t="shared" si="24"/>
        <v>2.4</v>
      </c>
      <c r="H281" s="248">
        <v>2400</v>
      </c>
      <c r="I281" s="246" t="s">
        <v>654</v>
      </c>
      <c r="J281" s="246" t="s">
        <v>97</v>
      </c>
      <c r="K281" s="246" t="s">
        <v>756</v>
      </c>
      <c r="L281" s="271"/>
      <c r="M281" s="197">
        <v>9.4499999999999993</v>
      </c>
      <c r="N281" s="197">
        <f>0.6+0.2</f>
        <v>0.8</v>
      </c>
      <c r="O281" s="197">
        <f>1.15</f>
        <v>1.1499999999999999</v>
      </c>
      <c r="P281" s="197">
        <f>M281-O281-N281</f>
        <v>7.4999999999999991</v>
      </c>
      <c r="V281" s="197">
        <f>0.85*2.4</f>
        <v>2.04</v>
      </c>
      <c r="AL281" s="197">
        <f>N281*G281-T281</f>
        <v>1.92</v>
      </c>
      <c r="AP281" s="197">
        <f>O281*G281-U281</f>
        <v>2.76</v>
      </c>
      <c r="AR281" s="197">
        <f>P281*G281-V281</f>
        <v>15.959999999999997</v>
      </c>
    </row>
    <row r="282" spans="1:52" ht="30" x14ac:dyDescent="0.2">
      <c r="A282" s="239">
        <v>321</v>
      </c>
      <c r="B282" s="197" t="s">
        <v>118</v>
      </c>
      <c r="C282" s="197" t="s">
        <v>113</v>
      </c>
      <c r="D282" s="246" t="s">
        <v>375</v>
      </c>
      <c r="E282" s="243" t="s">
        <v>806</v>
      </c>
      <c r="F282" s="250">
        <v>8.15</v>
      </c>
      <c r="G282" s="251">
        <f t="shared" si="24"/>
        <v>2.4</v>
      </c>
      <c r="H282" s="248">
        <v>2400</v>
      </c>
      <c r="I282" s="246" t="s">
        <v>654</v>
      </c>
      <c r="J282" s="246" t="s">
        <v>34</v>
      </c>
      <c r="K282" s="246" t="s">
        <v>756</v>
      </c>
      <c r="L282" s="271"/>
      <c r="M282" s="197">
        <v>14.8</v>
      </c>
      <c r="N282" s="197">
        <f>M282</f>
        <v>14.8</v>
      </c>
      <c r="AP282" s="197">
        <f>N282*G282-T282</f>
        <v>35.520000000000003</v>
      </c>
    </row>
    <row r="283" spans="1:52" ht="30" x14ac:dyDescent="0.2">
      <c r="A283" s="197">
        <v>322</v>
      </c>
      <c r="B283" s="197" t="s">
        <v>118</v>
      </c>
      <c r="C283" s="197" t="s">
        <v>113</v>
      </c>
      <c r="D283" s="246" t="s">
        <v>450</v>
      </c>
      <c r="E283" s="243" t="s">
        <v>855</v>
      </c>
      <c r="F283" s="250">
        <v>8.15</v>
      </c>
      <c r="G283" s="251">
        <f t="shared" si="24"/>
        <v>2.4</v>
      </c>
      <c r="H283" s="248">
        <v>2400</v>
      </c>
      <c r="I283" s="246" t="s">
        <v>656</v>
      </c>
      <c r="J283" s="246" t="s">
        <v>89</v>
      </c>
      <c r="K283" s="246" t="s">
        <v>763</v>
      </c>
      <c r="L283" s="271"/>
      <c r="M283" s="197">
        <v>12.05</v>
      </c>
      <c r="N283" s="197">
        <f>0.2+0.8</f>
        <v>1</v>
      </c>
      <c r="O283" s="197">
        <f>M283-P283-N283</f>
        <v>7.3000000000000007</v>
      </c>
      <c r="P283" s="197">
        <f>0.6*2+2.55</f>
        <v>3.75</v>
      </c>
      <c r="U283" s="197">
        <f>1.8*2.4</f>
        <v>4.32</v>
      </c>
      <c r="AM283" s="197">
        <f>N283*G283-T283</f>
        <v>2.4</v>
      </c>
      <c r="AP283" s="197">
        <f>O283*G283-U283</f>
        <v>13.2</v>
      </c>
      <c r="AR283" s="197">
        <f>P283*G283-V283</f>
        <v>9</v>
      </c>
    </row>
    <row r="284" spans="1:52" x14ac:dyDescent="0.2">
      <c r="A284" s="239">
        <v>323</v>
      </c>
      <c r="B284" s="197" t="s">
        <v>118</v>
      </c>
      <c r="C284" s="197" t="s">
        <v>113</v>
      </c>
      <c r="D284" s="265" t="s">
        <v>395</v>
      </c>
      <c r="E284" s="243" t="s">
        <v>843</v>
      </c>
      <c r="F284" s="250">
        <v>8.9499999999999993</v>
      </c>
      <c r="G284" s="251">
        <f t="shared" si="24"/>
        <v>2.4</v>
      </c>
      <c r="H284" s="248">
        <v>2400</v>
      </c>
      <c r="I284" s="246" t="s">
        <v>656</v>
      </c>
      <c r="J284" s="246" t="s">
        <v>36</v>
      </c>
      <c r="K284" s="246" t="s">
        <v>756</v>
      </c>
      <c r="L284" s="271"/>
      <c r="AM284" s="197">
        <f>N284*G284-T284</f>
        <v>0</v>
      </c>
      <c r="AP284" s="197">
        <f>O284*G284-U284</f>
        <v>0</v>
      </c>
    </row>
    <row r="285" spans="1:52" x14ac:dyDescent="0.2">
      <c r="A285" s="239">
        <v>324</v>
      </c>
      <c r="B285" s="197" t="s">
        <v>118</v>
      </c>
      <c r="C285" s="197" t="s">
        <v>113</v>
      </c>
      <c r="D285" s="265" t="s">
        <v>411</v>
      </c>
      <c r="E285" s="243" t="s">
        <v>845</v>
      </c>
      <c r="F285" s="250">
        <v>19.149999999999999</v>
      </c>
      <c r="G285" s="251">
        <f t="shared" si="24"/>
        <v>2.4</v>
      </c>
      <c r="H285" s="248">
        <v>2400</v>
      </c>
      <c r="I285" s="246" t="s">
        <v>656</v>
      </c>
      <c r="J285" s="246" t="s">
        <v>90</v>
      </c>
      <c r="K285" s="246" t="s">
        <v>763</v>
      </c>
      <c r="L285" s="271"/>
      <c r="AM285" s="197">
        <f>N285*G285-T285</f>
        <v>0</v>
      </c>
      <c r="AP285" s="197">
        <f>O285*G285-U285</f>
        <v>0</v>
      </c>
    </row>
    <row r="286" spans="1:52" ht="60" x14ac:dyDescent="0.2">
      <c r="A286" s="197">
        <v>325</v>
      </c>
      <c r="B286" s="197" t="s">
        <v>118</v>
      </c>
      <c r="C286" s="197" t="s">
        <v>113</v>
      </c>
      <c r="D286" s="265" t="s">
        <v>478</v>
      </c>
      <c r="E286" s="243" t="s">
        <v>847</v>
      </c>
      <c r="F286" s="250">
        <v>74</v>
      </c>
      <c r="G286" s="251">
        <f t="shared" si="24"/>
        <v>2.83</v>
      </c>
      <c r="H286" s="248">
        <v>2830</v>
      </c>
      <c r="I286" s="246" t="s">
        <v>656</v>
      </c>
      <c r="J286" s="246" t="s">
        <v>316</v>
      </c>
      <c r="K286" s="246" t="s">
        <v>836</v>
      </c>
      <c r="L286" s="271"/>
      <c r="M286" s="197">
        <f>99.7+1.26*5-9.45-6.5</f>
        <v>90.05</v>
      </c>
      <c r="N286" s="197">
        <f>1.6+1.26*5+0.2+0.6</f>
        <v>8.6999999999999993</v>
      </c>
      <c r="O286" s="197">
        <f>(0.325*2+2.25)*6</f>
        <v>17.399999999999999</v>
      </c>
      <c r="P286" s="197">
        <f>M286-R286-O286-N286-Q286</f>
        <v>53.739999999999981</v>
      </c>
      <c r="Q286" s="197">
        <f>3.2</f>
        <v>3.2</v>
      </c>
      <c r="R286" s="197">
        <f>0.45+6.56</f>
        <v>7.01</v>
      </c>
      <c r="V286" s="197">
        <f>2.45*2.85+2.45*2.85</f>
        <v>13.965000000000002</v>
      </c>
      <c r="AM286" s="197">
        <f>N286*G286-T286</f>
        <v>24.620999999999999</v>
      </c>
      <c r="AN286" s="197">
        <f>O286*G286-U286</f>
        <v>49.241999999999997</v>
      </c>
      <c r="AP286" s="197">
        <f>P286*G286-V286</f>
        <v>138.11919999999995</v>
      </c>
      <c r="AQ286" s="197">
        <f>Q286*G286-W286</f>
        <v>9.0560000000000009</v>
      </c>
      <c r="AZ286" s="197">
        <f>R286*G286-X286</f>
        <v>19.8383</v>
      </c>
    </row>
    <row r="287" spans="1:52" x14ac:dyDescent="0.2">
      <c r="A287" s="239">
        <v>326</v>
      </c>
      <c r="B287" s="197" t="s">
        <v>118</v>
      </c>
      <c r="C287" s="197" t="s">
        <v>113</v>
      </c>
      <c r="D287" s="246" t="s">
        <v>362</v>
      </c>
      <c r="E287" s="243" t="s">
        <v>1284</v>
      </c>
      <c r="F287" s="244"/>
      <c r="G287" s="244"/>
      <c r="H287" s="242"/>
      <c r="I287" s="242"/>
      <c r="J287" s="242"/>
      <c r="K287" s="242"/>
      <c r="L287" s="270"/>
    </row>
    <row r="288" spans="1:52" x14ac:dyDescent="0.2">
      <c r="A288" s="239">
        <v>327</v>
      </c>
      <c r="B288" s="197" t="s">
        <v>118</v>
      </c>
      <c r="C288" s="197" t="s">
        <v>113</v>
      </c>
      <c r="D288" s="246" t="s">
        <v>363</v>
      </c>
      <c r="E288" s="243" t="s">
        <v>1284</v>
      </c>
      <c r="F288" s="244"/>
      <c r="G288" s="244"/>
      <c r="H288" s="242"/>
      <c r="I288" s="242"/>
      <c r="J288" s="242"/>
      <c r="K288" s="242"/>
      <c r="L288" s="270"/>
    </row>
    <row r="289" spans="1:51" ht="30" x14ac:dyDescent="0.2">
      <c r="A289" s="197">
        <v>328</v>
      </c>
      <c r="B289" s="197" t="s">
        <v>118</v>
      </c>
      <c r="C289" s="197" t="s">
        <v>113</v>
      </c>
      <c r="D289" s="246" t="s">
        <v>772</v>
      </c>
      <c r="E289" s="243" t="s">
        <v>765</v>
      </c>
      <c r="F289" s="250">
        <v>21.5</v>
      </c>
      <c r="G289" s="251">
        <f>H289/1000</f>
        <v>2.67</v>
      </c>
      <c r="H289" s="248">
        <v>2670</v>
      </c>
      <c r="I289" s="246" t="s">
        <v>766</v>
      </c>
      <c r="J289" s="246" t="s">
        <v>98</v>
      </c>
      <c r="K289" s="246" t="s">
        <v>767</v>
      </c>
      <c r="L289" s="271"/>
      <c r="M289" s="197">
        <v>20.9</v>
      </c>
      <c r="N289" s="197">
        <f>M289-O289-P289-Q289</f>
        <v>5.4999999999999982</v>
      </c>
      <c r="O289" s="197">
        <v>6.8</v>
      </c>
      <c r="P289" s="197">
        <v>6.6</v>
      </c>
      <c r="Q289" s="197">
        <v>2</v>
      </c>
      <c r="T289" s="197">
        <f>3.45*2.55</f>
        <v>8.7974999999999994</v>
      </c>
      <c r="AP289" s="197">
        <f>N289*G289-T289</f>
        <v>5.8874999999999957</v>
      </c>
      <c r="AQ289" s="197">
        <f>O289*G289-U289</f>
        <v>18.155999999999999</v>
      </c>
      <c r="AS289" s="197">
        <f>P289*G289-V289</f>
        <v>17.622</v>
      </c>
      <c r="AT289" s="197">
        <f>Q289*G289-W289</f>
        <v>5.34</v>
      </c>
    </row>
    <row r="290" spans="1:51" x14ac:dyDescent="0.2">
      <c r="A290" s="239">
        <v>329</v>
      </c>
      <c r="B290" s="197" t="s">
        <v>118</v>
      </c>
      <c r="C290" s="197" t="s">
        <v>113</v>
      </c>
      <c r="D290" s="246" t="s">
        <v>406</v>
      </c>
      <c r="E290" s="243" t="s">
        <v>769</v>
      </c>
      <c r="F290" s="250">
        <v>2.5</v>
      </c>
      <c r="G290" s="251">
        <f>H290/1000</f>
        <v>2.4</v>
      </c>
      <c r="H290" s="248">
        <v>2400</v>
      </c>
      <c r="I290" s="246" t="s">
        <v>766</v>
      </c>
      <c r="J290" s="246" t="s">
        <v>46</v>
      </c>
      <c r="K290" s="246" t="s">
        <v>756</v>
      </c>
      <c r="L290" s="271"/>
      <c r="M290" s="197">
        <f>O290+N290</f>
        <v>3.55</v>
      </c>
      <c r="N290" s="197">
        <v>2.2999999999999998</v>
      </c>
      <c r="O290" s="197">
        <f>0.35*2+0.55</f>
        <v>1.25</v>
      </c>
      <c r="AP290" s="197">
        <f>N290*G290-T290</f>
        <v>5.52</v>
      </c>
      <c r="AQ290" s="197">
        <f>O290*G290-U290</f>
        <v>3</v>
      </c>
    </row>
    <row r="291" spans="1:51" x14ac:dyDescent="0.2">
      <c r="A291" s="239">
        <v>330</v>
      </c>
      <c r="B291" s="197" t="s">
        <v>118</v>
      </c>
      <c r="C291" s="197" t="s">
        <v>113</v>
      </c>
      <c r="D291" s="246" t="s">
        <v>470</v>
      </c>
      <c r="E291" s="243" t="s">
        <v>771</v>
      </c>
      <c r="F291" s="250">
        <v>2.25</v>
      </c>
      <c r="G291" s="251">
        <f>H291/1000</f>
        <v>2.4</v>
      </c>
      <c r="H291" s="248">
        <v>2400</v>
      </c>
      <c r="I291" s="246" t="s">
        <v>766</v>
      </c>
      <c r="J291" s="246" t="s">
        <v>46</v>
      </c>
      <c r="K291" s="246" t="s">
        <v>763</v>
      </c>
      <c r="L291" s="271"/>
      <c r="M291" s="197">
        <f>6.45-1.5</f>
        <v>4.95</v>
      </c>
      <c r="N291" s="197">
        <f>1.155+0.6</f>
        <v>1.7549999999999999</v>
      </c>
      <c r="O291" s="197">
        <f>M291-N291</f>
        <v>3.1950000000000003</v>
      </c>
      <c r="AP291" s="197">
        <f>N291*G291-T291</f>
        <v>4.2119999999999997</v>
      </c>
      <c r="AQ291" s="197">
        <f>O291*G291-U291</f>
        <v>7.6680000000000001</v>
      </c>
    </row>
    <row r="292" spans="1:51" x14ac:dyDescent="0.2">
      <c r="A292" s="197">
        <v>331</v>
      </c>
      <c r="B292" s="197" t="s">
        <v>118</v>
      </c>
      <c r="C292" s="197" t="s">
        <v>113</v>
      </c>
      <c r="D292" s="246" t="s">
        <v>859</v>
      </c>
      <c r="E292" s="243" t="s">
        <v>849</v>
      </c>
      <c r="F292" s="250">
        <v>9.1999999999999993</v>
      </c>
      <c r="G292" s="251">
        <f>H292/1000</f>
        <v>2.67</v>
      </c>
      <c r="H292" s="248">
        <v>2670</v>
      </c>
      <c r="I292" s="246" t="s">
        <v>656</v>
      </c>
      <c r="J292" s="246" t="s">
        <v>46</v>
      </c>
      <c r="K292" s="246" t="s">
        <v>756</v>
      </c>
      <c r="L292" s="271"/>
      <c r="M292" s="197">
        <f>4.2*2+2.2*2</f>
        <v>12.8</v>
      </c>
      <c r="N292" s="197">
        <f>M292-O292</f>
        <v>11</v>
      </c>
      <c r="O292" s="197">
        <v>1.8</v>
      </c>
      <c r="T292" s="197">
        <f>2.2*2.55</f>
        <v>5.61</v>
      </c>
      <c r="AP292" s="197">
        <f>N292*G292-T292</f>
        <v>23.759999999999998</v>
      </c>
      <c r="AQ292" s="197">
        <f>O292*G292-U292</f>
        <v>4.806</v>
      </c>
    </row>
    <row r="293" spans="1:51" x14ac:dyDescent="0.2">
      <c r="A293" s="239">
        <v>332</v>
      </c>
      <c r="B293" s="197" t="s">
        <v>118</v>
      </c>
      <c r="C293" s="197" t="s">
        <v>113</v>
      </c>
      <c r="D293" s="246" t="s">
        <v>433</v>
      </c>
      <c r="E293" s="243" t="s">
        <v>1254</v>
      </c>
      <c r="F293" s="247">
        <v>49.85</v>
      </c>
      <c r="G293" s="247"/>
      <c r="H293" s="248">
        <v>2910</v>
      </c>
      <c r="I293" s="246" t="s">
        <v>1266</v>
      </c>
      <c r="J293" s="246" t="s">
        <v>92</v>
      </c>
      <c r="K293" s="246" t="s">
        <v>677</v>
      </c>
      <c r="L293" s="271"/>
    </row>
    <row r="294" spans="1:51" ht="75" x14ac:dyDescent="0.2">
      <c r="A294" s="239">
        <v>333</v>
      </c>
      <c r="B294" s="197" t="s">
        <v>118</v>
      </c>
      <c r="C294" s="197" t="s">
        <v>113</v>
      </c>
      <c r="D294" s="246" t="s">
        <v>459</v>
      </c>
      <c r="E294" s="243" t="s">
        <v>1242</v>
      </c>
      <c r="F294" s="250">
        <v>28.4</v>
      </c>
      <c r="G294" s="250"/>
      <c r="H294" s="248">
        <v>2910</v>
      </c>
      <c r="I294" s="269" t="s">
        <v>99</v>
      </c>
      <c r="J294" s="246" t="s">
        <v>92</v>
      </c>
      <c r="K294" s="246" t="s">
        <v>677</v>
      </c>
      <c r="L294" s="271" t="s">
        <v>100</v>
      </c>
    </row>
    <row r="295" spans="1:51" x14ac:dyDescent="0.2">
      <c r="A295" s="197">
        <v>334</v>
      </c>
      <c r="B295" s="197" t="s">
        <v>118</v>
      </c>
      <c r="C295" s="197" t="s">
        <v>113</v>
      </c>
      <c r="D295" s="246"/>
      <c r="E295" s="243" t="s">
        <v>1286</v>
      </c>
      <c r="F295" s="244"/>
      <c r="G295" s="244"/>
      <c r="H295" s="242"/>
      <c r="I295" s="242"/>
      <c r="J295" s="242"/>
      <c r="K295" s="242"/>
      <c r="L295" s="270"/>
    </row>
    <row r="296" spans="1:51" ht="30" x14ac:dyDescent="0.2">
      <c r="A296" s="239">
        <v>335</v>
      </c>
      <c r="B296" s="197" t="s">
        <v>118</v>
      </c>
      <c r="C296" s="197" t="s">
        <v>113</v>
      </c>
      <c r="D296" s="246" t="s">
        <v>1360</v>
      </c>
      <c r="E296" s="243" t="s">
        <v>1344</v>
      </c>
      <c r="F296" s="250">
        <v>41.7</v>
      </c>
      <c r="G296" s="251">
        <f t="shared" ref="G296:G304" si="25">H296/1000</f>
        <v>2.4002669999999999</v>
      </c>
      <c r="H296" s="248">
        <v>2400.2669999999998</v>
      </c>
      <c r="I296" s="246" t="s">
        <v>1361</v>
      </c>
      <c r="J296" s="246" t="s">
        <v>46</v>
      </c>
      <c r="K296" s="246" t="s">
        <v>1346</v>
      </c>
      <c r="L296" s="271"/>
      <c r="M296" s="197">
        <f>14.9*2+9.15*2+9.2-2.1*2</f>
        <v>53.099999999999994</v>
      </c>
      <c r="N296" s="197">
        <f t="shared" ref="N296:N304" si="26">M296-O296-P296</f>
        <v>43.899999999999991</v>
      </c>
      <c r="O296" s="197">
        <v>9.1999999999999993</v>
      </c>
      <c r="T296" s="197">
        <f t="shared" ref="T296:T304" si="27">(3.26+0.19+3.26)*2.55</f>
        <v>17.110499999999995</v>
      </c>
      <c r="U296" s="197">
        <f t="shared" ref="U296:U304" si="28">1.05*2.4*2</f>
        <v>5.04</v>
      </c>
      <c r="AP296" s="197">
        <f t="shared" ref="AP296:AP304" si="29">N296*2.67-T296</f>
        <v>100.10249999999999</v>
      </c>
      <c r="AQ296" s="197">
        <f t="shared" ref="AQ296:AQ304" si="30">O296*2.4-U296</f>
        <v>17.04</v>
      </c>
    </row>
    <row r="297" spans="1:51" ht="30" x14ac:dyDescent="0.2">
      <c r="A297" s="239">
        <v>336</v>
      </c>
      <c r="B297" s="197" t="s">
        <v>118</v>
      </c>
      <c r="C297" s="197" t="s">
        <v>113</v>
      </c>
      <c r="D297" s="246" t="s">
        <v>1362</v>
      </c>
      <c r="E297" s="243" t="s">
        <v>1344</v>
      </c>
      <c r="F297" s="250">
        <v>41.7</v>
      </c>
      <c r="G297" s="251">
        <f t="shared" si="25"/>
        <v>2.4002669999999999</v>
      </c>
      <c r="H297" s="248">
        <v>2400.2669999999998</v>
      </c>
      <c r="I297" s="246" t="s">
        <v>1361</v>
      </c>
      <c r="J297" s="246" t="s">
        <v>317</v>
      </c>
      <c r="K297" s="246" t="s">
        <v>1349</v>
      </c>
      <c r="L297" s="243"/>
      <c r="M297" s="197">
        <f>14.9*2+9.25*2+9.2-2.1*2</f>
        <v>53.3</v>
      </c>
      <c r="N297" s="197">
        <f t="shared" si="26"/>
        <v>37.799999999999997</v>
      </c>
      <c r="O297" s="197">
        <v>9.1999999999999993</v>
      </c>
      <c r="P297" s="197">
        <v>6.3</v>
      </c>
      <c r="T297" s="197">
        <f t="shared" si="27"/>
        <v>17.110499999999995</v>
      </c>
      <c r="U297" s="197">
        <f t="shared" si="28"/>
        <v>5.04</v>
      </c>
      <c r="AP297" s="197">
        <f t="shared" si="29"/>
        <v>83.815499999999986</v>
      </c>
      <c r="AQ297" s="197">
        <f t="shared" si="30"/>
        <v>17.04</v>
      </c>
      <c r="AY297" s="197">
        <f>P297*2.67-V297</f>
        <v>16.820999999999998</v>
      </c>
    </row>
    <row r="298" spans="1:51" ht="30" x14ac:dyDescent="0.2">
      <c r="A298" s="197">
        <v>337</v>
      </c>
      <c r="B298" s="197" t="s">
        <v>118</v>
      </c>
      <c r="C298" s="197" t="s">
        <v>113</v>
      </c>
      <c r="D298" s="246" t="s">
        <v>1363</v>
      </c>
      <c r="E298" s="243" t="s">
        <v>1344</v>
      </c>
      <c r="F298" s="250">
        <v>41.7</v>
      </c>
      <c r="G298" s="251">
        <f t="shared" si="25"/>
        <v>2.4002669999999999</v>
      </c>
      <c r="H298" s="248">
        <v>2400.2669999999998</v>
      </c>
      <c r="I298" s="246" t="s">
        <v>1361</v>
      </c>
      <c r="J298" s="246" t="s">
        <v>46</v>
      </c>
      <c r="K298" s="246" t="s">
        <v>1364</v>
      </c>
      <c r="L298" s="271"/>
      <c r="M298" s="197">
        <f>14.9*2+9.15*2+9.2-2.1*2</f>
        <v>53.099999999999994</v>
      </c>
      <c r="N298" s="197">
        <f t="shared" si="26"/>
        <v>43.899999999999991</v>
      </c>
      <c r="O298" s="197">
        <v>9.1999999999999993</v>
      </c>
      <c r="T298" s="197">
        <f t="shared" si="27"/>
        <v>17.110499999999995</v>
      </c>
      <c r="U298" s="197">
        <f t="shared" si="28"/>
        <v>5.04</v>
      </c>
      <c r="AP298" s="197">
        <f t="shared" si="29"/>
        <v>100.10249999999999</v>
      </c>
      <c r="AQ298" s="197">
        <f t="shared" si="30"/>
        <v>17.04</v>
      </c>
    </row>
    <row r="299" spans="1:51" ht="30" x14ac:dyDescent="0.2">
      <c r="A299" s="239">
        <v>338</v>
      </c>
      <c r="B299" s="197" t="s">
        <v>118</v>
      </c>
      <c r="C299" s="197" t="s">
        <v>113</v>
      </c>
      <c r="D299" s="246" t="s">
        <v>1365</v>
      </c>
      <c r="E299" s="243" t="s">
        <v>1344</v>
      </c>
      <c r="F299" s="250">
        <v>41.7</v>
      </c>
      <c r="G299" s="251" t="e">
        <f t="shared" si="25"/>
        <v>#VALUE!</v>
      </c>
      <c r="H299" s="246" t="s">
        <v>792</v>
      </c>
      <c r="I299" s="246" t="s">
        <v>1361</v>
      </c>
      <c r="J299" s="246" t="s">
        <v>46</v>
      </c>
      <c r="K299" s="246" t="s">
        <v>1366</v>
      </c>
      <c r="L299" s="271"/>
      <c r="M299" s="197">
        <f>14.9*2+9.15*2+9.2-2.1*2</f>
        <v>53.099999999999994</v>
      </c>
      <c r="N299" s="197">
        <f t="shared" si="26"/>
        <v>43.899999999999991</v>
      </c>
      <c r="O299" s="197">
        <v>9.1999999999999993</v>
      </c>
      <c r="T299" s="197">
        <f t="shared" si="27"/>
        <v>17.110499999999995</v>
      </c>
      <c r="U299" s="197">
        <f t="shared" si="28"/>
        <v>5.04</v>
      </c>
      <c r="AP299" s="197">
        <f t="shared" si="29"/>
        <v>100.10249999999999</v>
      </c>
      <c r="AQ299" s="197">
        <f t="shared" si="30"/>
        <v>17.04</v>
      </c>
    </row>
    <row r="300" spans="1:51" ht="30" x14ac:dyDescent="0.2">
      <c r="A300" s="239">
        <v>339</v>
      </c>
      <c r="B300" s="197" t="s">
        <v>118</v>
      </c>
      <c r="C300" s="197" t="s">
        <v>113</v>
      </c>
      <c r="D300" s="246" t="s">
        <v>1367</v>
      </c>
      <c r="E300" s="243" t="s">
        <v>1344</v>
      </c>
      <c r="F300" s="250">
        <v>41.7</v>
      </c>
      <c r="G300" s="251">
        <f t="shared" si="25"/>
        <v>2.4002669999999999</v>
      </c>
      <c r="H300" s="248">
        <v>2400.2669999999998</v>
      </c>
      <c r="I300" s="246" t="s">
        <v>1361</v>
      </c>
      <c r="J300" s="246" t="s">
        <v>317</v>
      </c>
      <c r="K300" s="246" t="s">
        <v>1349</v>
      </c>
      <c r="L300" s="243"/>
      <c r="M300" s="197">
        <f>14.9*2+9.25*2+9.2-2.1*2</f>
        <v>53.3</v>
      </c>
      <c r="N300" s="197">
        <f t="shared" si="26"/>
        <v>37.799999999999997</v>
      </c>
      <c r="O300" s="197">
        <v>9.1999999999999993</v>
      </c>
      <c r="P300" s="197">
        <v>6.3</v>
      </c>
      <c r="T300" s="197">
        <f t="shared" si="27"/>
        <v>17.110499999999995</v>
      </c>
      <c r="U300" s="197">
        <f t="shared" si="28"/>
        <v>5.04</v>
      </c>
      <c r="AP300" s="197">
        <f t="shared" si="29"/>
        <v>83.815499999999986</v>
      </c>
      <c r="AQ300" s="197">
        <f t="shared" si="30"/>
        <v>17.04</v>
      </c>
      <c r="AY300" s="197">
        <f>P300*2.67-V300</f>
        <v>16.820999999999998</v>
      </c>
    </row>
    <row r="301" spans="1:51" ht="30" x14ac:dyDescent="0.2">
      <c r="A301" s="197">
        <v>340</v>
      </c>
      <c r="B301" s="197" t="s">
        <v>118</v>
      </c>
      <c r="C301" s="197" t="s">
        <v>113</v>
      </c>
      <c r="D301" s="246" t="s">
        <v>1368</v>
      </c>
      <c r="E301" s="243" t="s">
        <v>1344</v>
      </c>
      <c r="F301" s="250">
        <v>41.7</v>
      </c>
      <c r="G301" s="251">
        <f t="shared" si="25"/>
        <v>2.4002669999999999</v>
      </c>
      <c r="H301" s="248">
        <v>2400.2669999999998</v>
      </c>
      <c r="I301" s="246" t="s">
        <v>1361</v>
      </c>
      <c r="J301" s="246" t="s">
        <v>46</v>
      </c>
      <c r="K301" s="246" t="s">
        <v>1366</v>
      </c>
      <c r="L301" s="271"/>
      <c r="M301" s="197">
        <f>14.9*2+9.15*2+9.2-2.1*2</f>
        <v>53.099999999999994</v>
      </c>
      <c r="N301" s="197">
        <f t="shared" si="26"/>
        <v>43.899999999999991</v>
      </c>
      <c r="O301" s="197">
        <v>9.1999999999999993</v>
      </c>
      <c r="T301" s="197">
        <f t="shared" si="27"/>
        <v>17.110499999999995</v>
      </c>
      <c r="U301" s="197">
        <f t="shared" si="28"/>
        <v>5.04</v>
      </c>
      <c r="AP301" s="197">
        <f t="shared" si="29"/>
        <v>100.10249999999999</v>
      </c>
      <c r="AQ301" s="197">
        <f t="shared" si="30"/>
        <v>17.04</v>
      </c>
    </row>
    <row r="302" spans="1:51" ht="30" x14ac:dyDescent="0.2">
      <c r="A302" s="239">
        <v>341</v>
      </c>
      <c r="B302" s="197" t="s">
        <v>118</v>
      </c>
      <c r="C302" s="197" t="s">
        <v>113</v>
      </c>
      <c r="D302" s="246" t="s">
        <v>1369</v>
      </c>
      <c r="E302" s="243" t="s">
        <v>1344</v>
      </c>
      <c r="F302" s="250">
        <v>41.7</v>
      </c>
      <c r="G302" s="251">
        <f t="shared" si="25"/>
        <v>2.4002669999999999</v>
      </c>
      <c r="H302" s="248">
        <v>2400.2669999999998</v>
      </c>
      <c r="I302" s="246" t="s">
        <v>1361</v>
      </c>
      <c r="J302" s="246" t="s">
        <v>317</v>
      </c>
      <c r="K302" s="246" t="s">
        <v>1349</v>
      </c>
      <c r="L302" s="243"/>
      <c r="M302" s="197">
        <f>14.9*2+9.25*2+9.2-2.1*2</f>
        <v>53.3</v>
      </c>
      <c r="N302" s="197">
        <f t="shared" si="26"/>
        <v>37.799999999999997</v>
      </c>
      <c r="O302" s="197">
        <v>9.1999999999999993</v>
      </c>
      <c r="P302" s="197">
        <v>6.3</v>
      </c>
      <c r="T302" s="197">
        <f t="shared" si="27"/>
        <v>17.110499999999995</v>
      </c>
      <c r="U302" s="197">
        <f t="shared" si="28"/>
        <v>5.04</v>
      </c>
      <c r="AP302" s="197">
        <f t="shared" si="29"/>
        <v>83.815499999999986</v>
      </c>
      <c r="AQ302" s="197">
        <f t="shared" si="30"/>
        <v>17.04</v>
      </c>
      <c r="AY302" s="197">
        <f>P302*2.67-V302</f>
        <v>16.820999999999998</v>
      </c>
    </row>
    <row r="303" spans="1:51" ht="30" x14ac:dyDescent="0.2">
      <c r="A303" s="239">
        <v>342</v>
      </c>
      <c r="B303" s="197" t="s">
        <v>118</v>
      </c>
      <c r="C303" s="197" t="s">
        <v>113</v>
      </c>
      <c r="D303" s="246" t="s">
        <v>1370</v>
      </c>
      <c r="E303" s="243" t="s">
        <v>1344</v>
      </c>
      <c r="F303" s="250">
        <v>41.7</v>
      </c>
      <c r="G303" s="251" t="e">
        <f t="shared" si="25"/>
        <v>#VALUE!</v>
      </c>
      <c r="H303" s="246" t="s">
        <v>792</v>
      </c>
      <c r="I303" s="246" t="s">
        <v>1361</v>
      </c>
      <c r="J303" s="246" t="s">
        <v>317</v>
      </c>
      <c r="K303" s="246" t="s">
        <v>1349</v>
      </c>
      <c r="L303" s="243"/>
      <c r="M303" s="197">
        <f>14.9*2+9.25*2+9.2-2.1*2</f>
        <v>53.3</v>
      </c>
      <c r="N303" s="197">
        <f t="shared" si="26"/>
        <v>37.799999999999997</v>
      </c>
      <c r="O303" s="197">
        <v>9.1999999999999993</v>
      </c>
      <c r="P303" s="197">
        <v>6.3</v>
      </c>
      <c r="T303" s="197">
        <f t="shared" si="27"/>
        <v>17.110499999999995</v>
      </c>
      <c r="U303" s="197">
        <f t="shared" si="28"/>
        <v>5.04</v>
      </c>
      <c r="AP303" s="197">
        <f t="shared" si="29"/>
        <v>83.815499999999986</v>
      </c>
      <c r="AQ303" s="197">
        <f t="shared" si="30"/>
        <v>17.04</v>
      </c>
      <c r="AY303" s="197">
        <f>P303*2.67-V303</f>
        <v>16.820999999999998</v>
      </c>
    </row>
    <row r="304" spans="1:51" ht="30" x14ac:dyDescent="0.2">
      <c r="A304" s="197">
        <v>343</v>
      </c>
      <c r="B304" s="197" t="s">
        <v>118</v>
      </c>
      <c r="C304" s="197" t="s">
        <v>113</v>
      </c>
      <c r="D304" s="246" t="s">
        <v>1371</v>
      </c>
      <c r="E304" s="243" t="s">
        <v>1344</v>
      </c>
      <c r="F304" s="250">
        <v>41.7</v>
      </c>
      <c r="G304" s="251">
        <f t="shared" si="25"/>
        <v>2.4002669999999999</v>
      </c>
      <c r="H304" s="248">
        <v>2400.2669999999998</v>
      </c>
      <c r="I304" s="246" t="s">
        <v>1361</v>
      </c>
      <c r="J304" s="246" t="s">
        <v>46</v>
      </c>
      <c r="K304" s="246" t="s">
        <v>1364</v>
      </c>
      <c r="L304" s="271"/>
      <c r="M304" s="197">
        <f>14.9*2+9.15*2+9.2-2.1*2</f>
        <v>53.099999999999994</v>
      </c>
      <c r="N304" s="197">
        <f t="shared" si="26"/>
        <v>43.899999999999991</v>
      </c>
      <c r="O304" s="197">
        <v>9.1999999999999993</v>
      </c>
      <c r="T304" s="197">
        <f t="shared" si="27"/>
        <v>17.110499999999995</v>
      </c>
      <c r="U304" s="197">
        <f t="shared" si="28"/>
        <v>5.04</v>
      </c>
      <c r="AP304" s="197">
        <f t="shared" si="29"/>
        <v>100.10249999999999</v>
      </c>
      <c r="AQ304" s="197">
        <f t="shared" si="30"/>
        <v>17.04</v>
      </c>
    </row>
    <row r="305" spans="1:52" x14ac:dyDescent="0.2">
      <c r="A305" s="197">
        <v>349</v>
      </c>
      <c r="B305" s="197" t="s">
        <v>118</v>
      </c>
      <c r="C305" s="197" t="s">
        <v>114</v>
      </c>
      <c r="D305" s="246"/>
      <c r="E305" s="243" t="s">
        <v>1281</v>
      </c>
      <c r="F305" s="244"/>
      <c r="G305" s="244"/>
      <c r="H305" s="242"/>
      <c r="I305" s="242"/>
      <c r="J305" s="242"/>
      <c r="K305" s="242"/>
      <c r="L305" s="245"/>
    </row>
    <row r="306" spans="1:52" x14ac:dyDescent="0.2">
      <c r="A306" s="239">
        <v>350</v>
      </c>
      <c r="B306" s="197" t="s">
        <v>118</v>
      </c>
      <c r="C306" s="197" t="s">
        <v>114</v>
      </c>
      <c r="D306" s="246"/>
      <c r="E306" s="243" t="s">
        <v>1276</v>
      </c>
      <c r="F306" s="244"/>
      <c r="G306" s="244"/>
      <c r="H306" s="242"/>
      <c r="I306" s="242"/>
      <c r="J306" s="242"/>
      <c r="K306" s="242"/>
      <c r="L306" s="245"/>
    </row>
    <row r="307" spans="1:52" x14ac:dyDescent="0.2">
      <c r="A307" s="239">
        <v>351</v>
      </c>
      <c r="B307" s="197" t="s">
        <v>118</v>
      </c>
      <c r="C307" s="197" t="s">
        <v>114</v>
      </c>
      <c r="D307" s="246" t="s">
        <v>353</v>
      </c>
      <c r="E307" s="243" t="s">
        <v>1016</v>
      </c>
      <c r="F307" s="255">
        <v>42.5</v>
      </c>
      <c r="G307" s="251">
        <f>H307/1000</f>
        <v>2.61</v>
      </c>
      <c r="H307" s="256">
        <v>2610</v>
      </c>
      <c r="I307" s="246" t="s">
        <v>1035</v>
      </c>
      <c r="J307" s="246" t="s">
        <v>85</v>
      </c>
      <c r="K307" s="246" t="s">
        <v>1017</v>
      </c>
      <c r="L307" s="243"/>
      <c r="M307" s="197">
        <f>31.5+10.2</f>
        <v>41.7</v>
      </c>
      <c r="N307" s="197">
        <f>M307-Q307-P307-O307</f>
        <v>32.825000000000003</v>
      </c>
      <c r="O307" s="197">
        <v>1.9</v>
      </c>
      <c r="P307" s="197">
        <f>0.815+0.15+1.31</f>
        <v>2.2749999999999999</v>
      </c>
      <c r="Q307" s="197">
        <f>4.4+0.15*2</f>
        <v>4.7</v>
      </c>
      <c r="T307" s="197">
        <f>4.65*2.55+4.1*2.55+2.55*2.655+1.1*2.1</f>
        <v>31.392749999999999</v>
      </c>
      <c r="AM307" s="197">
        <f>N307*G307-T307</f>
        <v>54.280500000000011</v>
      </c>
      <c r="AN307" s="197">
        <f>O307*G307-U307</f>
        <v>4.9589999999999996</v>
      </c>
      <c r="AO307" s="197">
        <f>P307*G307-V307</f>
        <v>5.9377499999999994</v>
      </c>
      <c r="AZ307" s="197">
        <f>Q307*G307-W307</f>
        <v>12.266999999999999</v>
      </c>
    </row>
    <row r="308" spans="1:52" x14ac:dyDescent="0.2">
      <c r="A308" s="197">
        <v>352</v>
      </c>
      <c r="B308" s="197" t="s">
        <v>118</v>
      </c>
      <c r="C308" s="197" t="s">
        <v>114</v>
      </c>
      <c r="D308" s="246" t="s">
        <v>650</v>
      </c>
      <c r="E308" s="243" t="s">
        <v>619</v>
      </c>
      <c r="F308" s="255">
        <v>6.15</v>
      </c>
      <c r="G308" s="251" t="e">
        <f>H308/1000</f>
        <v>#VALUE!</v>
      </c>
      <c r="H308" s="242" t="s">
        <v>9</v>
      </c>
      <c r="I308" s="242" t="s">
        <v>9</v>
      </c>
      <c r="J308" s="246" t="s">
        <v>8</v>
      </c>
      <c r="K308" s="242" t="s">
        <v>9</v>
      </c>
      <c r="L308" s="245"/>
    </row>
    <row r="309" spans="1:52" x14ac:dyDescent="0.2">
      <c r="A309" s="239">
        <v>353</v>
      </c>
      <c r="B309" s="197" t="s">
        <v>118</v>
      </c>
      <c r="C309" s="197" t="s">
        <v>114</v>
      </c>
      <c r="D309" s="246" t="s">
        <v>384</v>
      </c>
      <c r="E309" s="243" t="s">
        <v>621</v>
      </c>
      <c r="F309" s="255">
        <v>4.5</v>
      </c>
      <c r="G309" s="251" t="e">
        <f>H309/1000</f>
        <v>#VALUE!</v>
      </c>
      <c r="H309" s="242" t="s">
        <v>9</v>
      </c>
      <c r="I309" s="242" t="s">
        <v>9</v>
      </c>
      <c r="J309" s="246" t="s">
        <v>8</v>
      </c>
      <c r="K309" s="242" t="s">
        <v>9</v>
      </c>
      <c r="L309" s="245"/>
    </row>
    <row r="310" spans="1:52" ht="30" x14ac:dyDescent="0.2">
      <c r="A310" s="239">
        <v>354</v>
      </c>
      <c r="B310" s="197" t="s">
        <v>118</v>
      </c>
      <c r="C310" s="197" t="s">
        <v>114</v>
      </c>
      <c r="D310" s="246" t="s">
        <v>347</v>
      </c>
      <c r="E310" s="243" t="s">
        <v>861</v>
      </c>
      <c r="F310" s="255">
        <v>71.8</v>
      </c>
      <c r="G310" s="255"/>
      <c r="H310" s="256">
        <v>2830</v>
      </c>
      <c r="I310" s="246" t="s">
        <v>862</v>
      </c>
      <c r="J310" s="242" t="s">
        <v>86</v>
      </c>
      <c r="K310" s="246" t="s">
        <v>863</v>
      </c>
      <c r="L310" s="243"/>
      <c r="M310" s="197">
        <v>60.8</v>
      </c>
      <c r="N310" s="197">
        <f>0.8+2.5+0.6</f>
        <v>3.9</v>
      </c>
      <c r="O310" s="197">
        <f>2.5+3.15+1.1</f>
        <v>6.75</v>
      </c>
      <c r="P310" s="197">
        <f>(0.325*2+2.25)*3</f>
        <v>8.6999999999999993</v>
      </c>
      <c r="Q310" s="197">
        <f>M310-R310-P310-O310-N310</f>
        <v>35.35</v>
      </c>
      <c r="R310" s="197">
        <f>0.55+0.55+0.1+4.9</f>
        <v>6.1000000000000005</v>
      </c>
      <c r="T310" s="197">
        <f>1.1*2.1</f>
        <v>2.3100000000000005</v>
      </c>
      <c r="W310" s="197">
        <f>2.45*2.85*2+2.55*2.655+3.5*2.55</f>
        <v>29.660249999999998</v>
      </c>
      <c r="AL310" s="197">
        <f>N310*H310/1000-T310</f>
        <v>8.7270000000000003</v>
      </c>
      <c r="AM310" s="197">
        <f>O310*H310/1000-U310</f>
        <v>19.102499999999999</v>
      </c>
      <c r="AN310" s="197">
        <f>P310*H310/1000-V310</f>
        <v>24.620999999999995</v>
      </c>
      <c r="AP310" s="197">
        <f>Q310*H310/1000-W310</f>
        <v>70.38024999999999</v>
      </c>
      <c r="AZ310" s="197">
        <f>R310*H310/1000-X310</f>
        <v>17.263000000000002</v>
      </c>
    </row>
    <row r="311" spans="1:52" x14ac:dyDescent="0.2">
      <c r="A311" s="197">
        <v>355</v>
      </c>
      <c r="B311" s="197" t="s">
        <v>118</v>
      </c>
      <c r="C311" s="197" t="s">
        <v>114</v>
      </c>
      <c r="D311" s="265" t="s">
        <v>232</v>
      </c>
      <c r="E311" s="243" t="s">
        <v>861</v>
      </c>
      <c r="F311" s="255">
        <v>18.75</v>
      </c>
      <c r="G311" s="251">
        <f>H311/1000</f>
        <v>2.83</v>
      </c>
      <c r="H311" s="256">
        <v>2830</v>
      </c>
      <c r="I311" s="246" t="s">
        <v>1323</v>
      </c>
      <c r="J311" s="246" t="s">
        <v>73</v>
      </c>
      <c r="K311" s="246" t="s">
        <v>863</v>
      </c>
      <c r="L311" s="243"/>
    </row>
    <row r="312" spans="1:52" x14ac:dyDescent="0.2">
      <c r="A312" s="239">
        <v>356</v>
      </c>
      <c r="B312" s="197" t="s">
        <v>118</v>
      </c>
      <c r="C312" s="197" t="s">
        <v>114</v>
      </c>
      <c r="D312" s="265" t="s">
        <v>233</v>
      </c>
      <c r="E312" s="243" t="s">
        <v>861</v>
      </c>
      <c r="F312" s="255">
        <v>38.15</v>
      </c>
      <c r="G312" s="255"/>
      <c r="H312" s="256">
        <v>2830</v>
      </c>
      <c r="I312" s="246" t="s">
        <v>1332</v>
      </c>
      <c r="J312" s="246" t="s">
        <v>81</v>
      </c>
      <c r="K312" s="246" t="s">
        <v>863</v>
      </c>
      <c r="L312" s="243"/>
    </row>
    <row r="313" spans="1:52" x14ac:dyDescent="0.2">
      <c r="A313" s="239">
        <v>357</v>
      </c>
      <c r="B313" s="197" t="s">
        <v>118</v>
      </c>
      <c r="C313" s="197" t="s">
        <v>114</v>
      </c>
      <c r="D313" s="246" t="s">
        <v>443</v>
      </c>
      <c r="E313" s="243" t="s">
        <v>811</v>
      </c>
      <c r="F313" s="255">
        <v>4.6500000000000004</v>
      </c>
      <c r="G313" s="251">
        <f t="shared" ref="G313:G319" si="31">H313/1000</f>
        <v>2.4</v>
      </c>
      <c r="H313" s="256">
        <v>2400</v>
      </c>
      <c r="I313" s="246" t="s">
        <v>812</v>
      </c>
      <c r="J313" s="246" t="s">
        <v>60</v>
      </c>
      <c r="K313" s="246" t="s">
        <v>756</v>
      </c>
      <c r="L313" s="243"/>
      <c r="M313" s="197">
        <f>9.8</f>
        <v>9.8000000000000007</v>
      </c>
      <c r="N313" s="197">
        <f>1.5</f>
        <v>1.5</v>
      </c>
      <c r="O313" s="197">
        <f>M313-P313-N313</f>
        <v>5.25</v>
      </c>
      <c r="P313" s="197">
        <f>0.6+2.45</f>
        <v>3.0500000000000003</v>
      </c>
      <c r="AH313" s="197">
        <f>N313*G313-T313</f>
        <v>3.5999999999999996</v>
      </c>
      <c r="AP313" s="197">
        <f t="shared" ref="AP313:AP318" si="32">O313*G313-U313</f>
        <v>12.6</v>
      </c>
      <c r="AR313" s="197">
        <f>P313*G313-V313</f>
        <v>7.32</v>
      </c>
    </row>
    <row r="314" spans="1:52" ht="30" x14ac:dyDescent="0.2">
      <c r="A314" s="197">
        <v>358</v>
      </c>
      <c r="B314" s="197" t="s">
        <v>118</v>
      </c>
      <c r="C314" s="197" t="s">
        <v>114</v>
      </c>
      <c r="D314" s="246" t="s">
        <v>422</v>
      </c>
      <c r="E314" s="243" t="s">
        <v>814</v>
      </c>
      <c r="F314" s="255">
        <v>4.45</v>
      </c>
      <c r="G314" s="251">
        <f t="shared" si="31"/>
        <v>2.4</v>
      </c>
      <c r="H314" s="256">
        <v>2400</v>
      </c>
      <c r="I314" s="246" t="s">
        <v>812</v>
      </c>
      <c r="J314" s="246" t="s">
        <v>89</v>
      </c>
      <c r="K314" s="246" t="s">
        <v>752</v>
      </c>
      <c r="L314" s="243"/>
      <c r="M314" s="197">
        <v>9.4499999999999993</v>
      </c>
      <c r="N314" s="197">
        <f>0.6+0.2</f>
        <v>0.8</v>
      </c>
      <c r="O314" s="197">
        <f>1.15</f>
        <v>1.1499999999999999</v>
      </c>
      <c r="P314" s="197">
        <f>M314-O314-N314</f>
        <v>7.4999999999999991</v>
      </c>
      <c r="V314" s="197">
        <f>0.85*2.4</f>
        <v>2.04</v>
      </c>
      <c r="AM314" s="197">
        <f t="shared" ref="AM314:AM319" si="33">N314*G314-T314</f>
        <v>1.92</v>
      </c>
      <c r="AP314" s="197">
        <f t="shared" si="32"/>
        <v>2.76</v>
      </c>
      <c r="AR314" s="197">
        <f>P314*G314-V314</f>
        <v>15.959999999999997</v>
      </c>
    </row>
    <row r="315" spans="1:52" ht="30" x14ac:dyDescent="0.2">
      <c r="A315" s="239">
        <v>359</v>
      </c>
      <c r="B315" s="197" t="s">
        <v>118</v>
      </c>
      <c r="C315" s="197" t="s">
        <v>114</v>
      </c>
      <c r="D315" s="246" t="s">
        <v>228</v>
      </c>
      <c r="E315" s="243" t="s">
        <v>818</v>
      </c>
      <c r="F315" s="255">
        <v>7.65</v>
      </c>
      <c r="G315" s="251">
        <f t="shared" si="31"/>
        <v>2.4</v>
      </c>
      <c r="H315" s="256">
        <v>2400</v>
      </c>
      <c r="I315" s="246" t="s">
        <v>1321</v>
      </c>
      <c r="J315" s="246" t="s">
        <v>36</v>
      </c>
      <c r="K315" s="246" t="s">
        <v>738</v>
      </c>
      <c r="L315" s="243"/>
      <c r="M315" s="197">
        <f>14.3</f>
        <v>14.3</v>
      </c>
      <c r="N315" s="197">
        <f>0.2+0.6</f>
        <v>0.8</v>
      </c>
      <c r="O315" s="197">
        <f>M315-N315</f>
        <v>13.5</v>
      </c>
      <c r="AM315" s="197">
        <f t="shared" si="33"/>
        <v>1.92</v>
      </c>
      <c r="AP315" s="197">
        <f t="shared" si="32"/>
        <v>32.4</v>
      </c>
    </row>
    <row r="316" spans="1:52" ht="30" x14ac:dyDescent="0.2">
      <c r="A316" s="239">
        <v>360</v>
      </c>
      <c r="B316" s="197" t="s">
        <v>118</v>
      </c>
      <c r="C316" s="197" t="s">
        <v>114</v>
      </c>
      <c r="D316" s="246" t="s">
        <v>234</v>
      </c>
      <c r="E316" s="243" t="s">
        <v>869</v>
      </c>
      <c r="F316" s="255">
        <v>8.1999999999999993</v>
      </c>
      <c r="G316" s="251">
        <f t="shared" si="31"/>
        <v>2.4</v>
      </c>
      <c r="H316" s="256">
        <v>2400</v>
      </c>
      <c r="I316" s="246" t="s">
        <v>1323</v>
      </c>
      <c r="J316" s="246" t="s">
        <v>89</v>
      </c>
      <c r="K316" s="246" t="s">
        <v>738</v>
      </c>
      <c r="L316" s="243"/>
      <c r="M316" s="197">
        <v>12.05</v>
      </c>
      <c r="N316" s="197">
        <f>0.2+0.8</f>
        <v>1</v>
      </c>
      <c r="O316" s="197">
        <f>M316-P316-N316</f>
        <v>7.3000000000000007</v>
      </c>
      <c r="P316" s="197">
        <f>0.6*2+2.55</f>
        <v>3.75</v>
      </c>
      <c r="U316" s="197">
        <f>1.8*2.4</f>
        <v>4.32</v>
      </c>
      <c r="AM316" s="197">
        <f t="shared" si="33"/>
        <v>2.4</v>
      </c>
      <c r="AP316" s="197">
        <f t="shared" si="32"/>
        <v>13.2</v>
      </c>
      <c r="AR316" s="197">
        <f>P316*G316-V316</f>
        <v>9</v>
      </c>
    </row>
    <row r="317" spans="1:52" x14ac:dyDescent="0.2">
      <c r="A317" s="197">
        <v>361</v>
      </c>
      <c r="B317" s="197" t="s">
        <v>118</v>
      </c>
      <c r="C317" s="197" t="s">
        <v>114</v>
      </c>
      <c r="D317" s="265" t="s">
        <v>391</v>
      </c>
      <c r="E317" s="243" t="s">
        <v>871</v>
      </c>
      <c r="F317" s="255">
        <v>7.75</v>
      </c>
      <c r="G317" s="251">
        <f t="shared" si="31"/>
        <v>2.4</v>
      </c>
      <c r="H317" s="256">
        <v>2400</v>
      </c>
      <c r="I317" s="246" t="s">
        <v>973</v>
      </c>
      <c r="J317" s="246" t="s">
        <v>36</v>
      </c>
      <c r="K317" s="246" t="s">
        <v>738</v>
      </c>
      <c r="L317" s="243"/>
      <c r="AM317" s="197">
        <f t="shared" si="33"/>
        <v>0</v>
      </c>
      <c r="AP317" s="197">
        <f t="shared" si="32"/>
        <v>0</v>
      </c>
    </row>
    <row r="318" spans="1:52" x14ac:dyDescent="0.2">
      <c r="A318" s="239">
        <v>362</v>
      </c>
      <c r="B318" s="197" t="s">
        <v>118</v>
      </c>
      <c r="C318" s="197" t="s">
        <v>114</v>
      </c>
      <c r="D318" s="265" t="s">
        <v>412</v>
      </c>
      <c r="E318" s="243" t="s">
        <v>873</v>
      </c>
      <c r="F318" s="255">
        <v>17.75</v>
      </c>
      <c r="G318" s="251">
        <f t="shared" si="31"/>
        <v>2.4</v>
      </c>
      <c r="H318" s="256">
        <v>2400</v>
      </c>
      <c r="I318" s="246" t="s">
        <v>973</v>
      </c>
      <c r="J318" s="246" t="s">
        <v>90</v>
      </c>
      <c r="K318" s="246" t="s">
        <v>752</v>
      </c>
      <c r="L318" s="243"/>
      <c r="AM318" s="197">
        <f t="shared" si="33"/>
        <v>0</v>
      </c>
      <c r="AP318" s="197">
        <f t="shared" si="32"/>
        <v>0</v>
      </c>
    </row>
    <row r="319" spans="1:52" ht="30" x14ac:dyDescent="0.2">
      <c r="A319" s="239">
        <v>363</v>
      </c>
      <c r="B319" s="197" t="s">
        <v>118</v>
      </c>
      <c r="C319" s="197" t="s">
        <v>114</v>
      </c>
      <c r="D319" s="246" t="s">
        <v>975</v>
      </c>
      <c r="E319" s="243" t="s">
        <v>875</v>
      </c>
      <c r="F319" s="255">
        <v>68.3</v>
      </c>
      <c r="G319" s="251">
        <f t="shared" si="31"/>
        <v>2.83</v>
      </c>
      <c r="H319" s="256">
        <v>2830</v>
      </c>
      <c r="I319" s="246" t="s">
        <v>973</v>
      </c>
      <c r="J319" s="246" t="s">
        <v>316</v>
      </c>
      <c r="K319" s="246" t="s">
        <v>863</v>
      </c>
      <c r="L319" s="243"/>
      <c r="M319" s="197">
        <f>69.7+1.26*2-7</f>
        <v>65.22</v>
      </c>
      <c r="N319" s="197">
        <f>12.65+2+1.26*2+1.65</f>
        <v>18.82</v>
      </c>
      <c r="O319" s="197">
        <f>(0.325*2+2.25)*3</f>
        <v>8.6999999999999993</v>
      </c>
      <c r="P319" s="197">
        <f>M319-R319-O319-N319-Q319</f>
        <v>34.4</v>
      </c>
      <c r="Q319" s="197">
        <v>3.3</v>
      </c>
      <c r="V319" s="197">
        <f>2.45*2.85+2.5*2.85</f>
        <v>14.107500000000002</v>
      </c>
      <c r="AM319" s="197">
        <f t="shared" si="33"/>
        <v>53.260600000000004</v>
      </c>
      <c r="AN319" s="197">
        <f>O319*G319-U319</f>
        <v>24.620999999999999</v>
      </c>
      <c r="AP319" s="197">
        <f>P319*G319-V319</f>
        <v>83.244500000000002</v>
      </c>
      <c r="AQ319" s="197">
        <f>Q319*G319-W319</f>
        <v>9.3390000000000004</v>
      </c>
      <c r="AZ319" s="197">
        <f>R319*G319-X319</f>
        <v>0</v>
      </c>
    </row>
    <row r="320" spans="1:52" x14ac:dyDescent="0.2">
      <c r="A320" s="197">
        <v>364</v>
      </c>
      <c r="B320" s="197" t="s">
        <v>118</v>
      </c>
      <c r="C320" s="197" t="s">
        <v>114</v>
      </c>
      <c r="D320" s="246" t="s">
        <v>364</v>
      </c>
      <c r="E320" s="243" t="s">
        <v>1290</v>
      </c>
      <c r="F320" s="244"/>
      <c r="G320" s="244"/>
      <c r="H320" s="242"/>
      <c r="I320" s="242"/>
      <c r="J320" s="242"/>
      <c r="K320" s="242"/>
      <c r="L320" s="245"/>
    </row>
    <row r="321" spans="1:52" x14ac:dyDescent="0.2">
      <c r="A321" s="239">
        <v>365</v>
      </c>
      <c r="B321" s="197" t="s">
        <v>118</v>
      </c>
      <c r="C321" s="197" t="s">
        <v>114</v>
      </c>
      <c r="D321" s="246" t="s">
        <v>365</v>
      </c>
      <c r="E321" s="243" t="s">
        <v>1290</v>
      </c>
      <c r="F321" s="244"/>
      <c r="G321" s="244"/>
      <c r="H321" s="242"/>
      <c r="I321" s="242"/>
      <c r="J321" s="242"/>
      <c r="K321" s="242"/>
      <c r="L321" s="245"/>
    </row>
    <row r="322" spans="1:52" ht="30" x14ac:dyDescent="0.2">
      <c r="A322" s="239">
        <v>366</v>
      </c>
      <c r="B322" s="197" t="s">
        <v>118</v>
      </c>
      <c r="C322" s="197" t="s">
        <v>114</v>
      </c>
      <c r="D322" s="246" t="s">
        <v>775</v>
      </c>
      <c r="E322" s="243" t="s">
        <v>776</v>
      </c>
      <c r="F322" s="255">
        <v>20.3</v>
      </c>
      <c r="G322" s="251">
        <f>H322/1000</f>
        <v>2.67</v>
      </c>
      <c r="H322" s="248">
        <v>2670</v>
      </c>
      <c r="I322" s="246" t="s">
        <v>777</v>
      </c>
      <c r="J322" s="246" t="s">
        <v>91</v>
      </c>
      <c r="K322" s="246" t="s">
        <v>778</v>
      </c>
      <c r="L322" s="243"/>
      <c r="M322" s="197">
        <v>20.399999999999999</v>
      </c>
      <c r="N322" s="197">
        <f>3.5+0.42*2+3.3</f>
        <v>7.64</v>
      </c>
      <c r="O322" s="197">
        <v>5.8250000000000002</v>
      </c>
      <c r="P322" s="197">
        <f>M322-N322-O322</f>
        <v>6.9349999999999978</v>
      </c>
      <c r="T322" s="197">
        <f>3.3*2.55</f>
        <v>8.4149999999999991</v>
      </c>
      <c r="AP322" s="197">
        <f>N322*G322-T322</f>
        <v>11.983799999999999</v>
      </c>
      <c r="AQ322" s="197">
        <f>O322*G322-U322</f>
        <v>15.55275</v>
      </c>
      <c r="AT322" s="197">
        <f>P322*G322-V322</f>
        <v>18.516449999999995</v>
      </c>
    </row>
    <row r="323" spans="1:52" ht="45" x14ac:dyDescent="0.2">
      <c r="A323" s="197">
        <v>367</v>
      </c>
      <c r="B323" s="197" t="s">
        <v>118</v>
      </c>
      <c r="C323" s="197" t="s">
        <v>114</v>
      </c>
      <c r="D323" s="246" t="s">
        <v>434</v>
      </c>
      <c r="E323" s="243" t="s">
        <v>669</v>
      </c>
      <c r="F323" s="255">
        <v>41.9</v>
      </c>
      <c r="G323" s="255"/>
      <c r="H323" s="256">
        <v>2910</v>
      </c>
      <c r="I323" s="246" t="s">
        <v>670</v>
      </c>
      <c r="J323" s="246" t="s">
        <v>102</v>
      </c>
      <c r="K323" s="246" t="s">
        <v>671</v>
      </c>
      <c r="L323" s="243"/>
    </row>
    <row r="324" spans="1:52" x14ac:dyDescent="0.2">
      <c r="A324" s="239">
        <v>368</v>
      </c>
      <c r="B324" s="197" t="s">
        <v>118</v>
      </c>
      <c r="C324" s="197" t="s">
        <v>114</v>
      </c>
      <c r="D324" s="246"/>
      <c r="E324" s="243" t="s">
        <v>1292</v>
      </c>
      <c r="F324" s="244"/>
      <c r="G324" s="244"/>
      <c r="H324" s="242"/>
      <c r="I324" s="242"/>
      <c r="J324" s="242"/>
      <c r="K324" s="242"/>
      <c r="L324" s="245"/>
    </row>
    <row r="325" spans="1:52" ht="30" x14ac:dyDescent="0.2">
      <c r="A325" s="239">
        <v>369</v>
      </c>
      <c r="B325" s="197" t="s">
        <v>118</v>
      </c>
      <c r="C325" s="197" t="s">
        <v>114</v>
      </c>
      <c r="D325" s="246" t="s">
        <v>1372</v>
      </c>
      <c r="E325" s="243" t="s">
        <v>1373</v>
      </c>
      <c r="F325" s="255">
        <v>41.7</v>
      </c>
      <c r="G325" s="251">
        <f t="shared" ref="G325:G330" si="34">H325/1000</f>
        <v>2.4002669999999999</v>
      </c>
      <c r="H325" s="256">
        <v>2400.2669999999998</v>
      </c>
      <c r="I325" s="246" t="s">
        <v>1374</v>
      </c>
      <c r="J325" s="246" t="s">
        <v>317</v>
      </c>
      <c r="K325" s="246" t="s">
        <v>1349</v>
      </c>
      <c r="L325" s="243"/>
      <c r="M325" s="197">
        <f>14.9*2+9.25*2+9.2-2.1*2</f>
        <v>53.3</v>
      </c>
      <c r="N325" s="197">
        <f t="shared" ref="N325:N330" si="35">M325-O325-P325</f>
        <v>37.799999999999997</v>
      </c>
      <c r="O325" s="197">
        <v>9.1999999999999993</v>
      </c>
      <c r="P325" s="197">
        <v>6.3</v>
      </c>
      <c r="T325" s="197">
        <f t="shared" ref="T325:T330" si="36">(3.26+0.19+3.26)*2.55</f>
        <v>17.110499999999995</v>
      </c>
      <c r="U325" s="197">
        <f t="shared" ref="U325:U330" si="37">1.05*2.4*2</f>
        <v>5.04</v>
      </c>
      <c r="AP325" s="197">
        <f t="shared" ref="AP325:AP330" si="38">N325*2.67-T325</f>
        <v>83.815499999999986</v>
      </c>
      <c r="AQ325" s="197">
        <f t="shared" ref="AQ325:AQ330" si="39">O325*2.4-U325</f>
        <v>17.04</v>
      </c>
      <c r="AY325" s="197">
        <f>P325*2.67-V325</f>
        <v>16.820999999999998</v>
      </c>
    </row>
    <row r="326" spans="1:52" ht="30" x14ac:dyDescent="0.2">
      <c r="A326" s="197">
        <v>370</v>
      </c>
      <c r="B326" s="197" t="s">
        <v>118</v>
      </c>
      <c r="C326" s="197" t="s">
        <v>114</v>
      </c>
      <c r="D326" s="246" t="s">
        <v>1375</v>
      </c>
      <c r="E326" s="243" t="s">
        <v>1373</v>
      </c>
      <c r="F326" s="255">
        <v>41.7</v>
      </c>
      <c r="G326" s="251">
        <f t="shared" si="34"/>
        <v>2.4002669999999999</v>
      </c>
      <c r="H326" s="256">
        <v>2400.2669999999998</v>
      </c>
      <c r="I326" s="246" t="s">
        <v>1376</v>
      </c>
      <c r="J326" s="246" t="s">
        <v>46</v>
      </c>
      <c r="K326" s="246" t="s">
        <v>1377</v>
      </c>
      <c r="L326" s="243"/>
      <c r="M326" s="197">
        <f>14.9*2+9.15*2+9.2-2.1*2</f>
        <v>53.099999999999994</v>
      </c>
      <c r="N326" s="197">
        <f t="shared" si="35"/>
        <v>43.899999999999991</v>
      </c>
      <c r="O326" s="197">
        <v>9.1999999999999993</v>
      </c>
      <c r="T326" s="197">
        <f t="shared" si="36"/>
        <v>17.110499999999995</v>
      </c>
      <c r="U326" s="197">
        <f t="shared" si="37"/>
        <v>5.04</v>
      </c>
      <c r="AP326" s="197">
        <f t="shared" si="38"/>
        <v>100.10249999999999</v>
      </c>
      <c r="AQ326" s="197">
        <f t="shared" si="39"/>
        <v>17.04</v>
      </c>
    </row>
    <row r="327" spans="1:52" ht="30" x14ac:dyDescent="0.2">
      <c r="A327" s="239">
        <v>371</v>
      </c>
      <c r="B327" s="197" t="s">
        <v>118</v>
      </c>
      <c r="C327" s="197" t="s">
        <v>114</v>
      </c>
      <c r="D327" s="246" t="s">
        <v>1378</v>
      </c>
      <c r="E327" s="243" t="s">
        <v>1373</v>
      </c>
      <c r="F327" s="255">
        <v>41.7</v>
      </c>
      <c r="G327" s="251" t="e">
        <f t="shared" si="34"/>
        <v>#VALUE!</v>
      </c>
      <c r="H327" s="246" t="s">
        <v>1379</v>
      </c>
      <c r="I327" s="257" t="s">
        <v>103</v>
      </c>
      <c r="J327" s="246" t="s">
        <v>317</v>
      </c>
      <c r="K327" s="246" t="s">
        <v>1349</v>
      </c>
      <c r="L327" s="243"/>
      <c r="M327" s="197">
        <f>14.9*2+9.25*2+9.2-2.1*2</f>
        <v>53.3</v>
      </c>
      <c r="N327" s="197">
        <f t="shared" si="35"/>
        <v>37.799999999999997</v>
      </c>
      <c r="O327" s="197">
        <v>9.1999999999999993</v>
      </c>
      <c r="P327" s="197">
        <v>6.3</v>
      </c>
      <c r="T327" s="197">
        <f t="shared" si="36"/>
        <v>17.110499999999995</v>
      </c>
      <c r="U327" s="197">
        <f t="shared" si="37"/>
        <v>5.04</v>
      </c>
      <c r="AP327" s="197">
        <f t="shared" si="38"/>
        <v>83.815499999999986</v>
      </c>
      <c r="AQ327" s="197">
        <f t="shared" si="39"/>
        <v>17.04</v>
      </c>
      <c r="AY327" s="197">
        <f>P327*2.67-V327</f>
        <v>16.820999999999998</v>
      </c>
    </row>
    <row r="328" spans="1:52" ht="30" x14ac:dyDescent="0.2">
      <c r="A328" s="239">
        <v>372</v>
      </c>
      <c r="B328" s="197" t="s">
        <v>118</v>
      </c>
      <c r="C328" s="197" t="s">
        <v>114</v>
      </c>
      <c r="D328" s="246" t="s">
        <v>1380</v>
      </c>
      <c r="E328" s="243" t="s">
        <v>1373</v>
      </c>
      <c r="F328" s="255">
        <v>41.7</v>
      </c>
      <c r="G328" s="251">
        <f t="shared" si="34"/>
        <v>2.4002669999999999</v>
      </c>
      <c r="H328" s="256">
        <v>2400.2669999999998</v>
      </c>
      <c r="I328" s="257" t="s">
        <v>103</v>
      </c>
      <c r="J328" s="246" t="s">
        <v>46</v>
      </c>
      <c r="K328" s="246" t="s">
        <v>1377</v>
      </c>
      <c r="L328" s="243"/>
      <c r="M328" s="197">
        <f>14.9*2+9.15*2+9.2-2.1*2</f>
        <v>53.099999999999994</v>
      </c>
      <c r="N328" s="197">
        <f t="shared" si="35"/>
        <v>43.899999999999991</v>
      </c>
      <c r="O328" s="197">
        <v>9.1999999999999993</v>
      </c>
      <c r="T328" s="197">
        <f t="shared" si="36"/>
        <v>17.110499999999995</v>
      </c>
      <c r="U328" s="197">
        <f t="shared" si="37"/>
        <v>5.04</v>
      </c>
      <c r="AP328" s="197">
        <f t="shared" si="38"/>
        <v>100.10249999999999</v>
      </c>
      <c r="AQ328" s="197">
        <f t="shared" si="39"/>
        <v>17.04</v>
      </c>
    </row>
    <row r="329" spans="1:52" ht="30" x14ac:dyDescent="0.2">
      <c r="A329" s="197">
        <v>373</v>
      </c>
      <c r="B329" s="197" t="s">
        <v>118</v>
      </c>
      <c r="C329" s="197" t="s">
        <v>114</v>
      </c>
      <c r="D329" s="246" t="s">
        <v>1381</v>
      </c>
      <c r="E329" s="243" t="s">
        <v>1373</v>
      </c>
      <c r="F329" s="255">
        <v>41.7</v>
      </c>
      <c r="G329" s="251" t="e">
        <f t="shared" si="34"/>
        <v>#VALUE!</v>
      </c>
      <c r="H329" s="246" t="s">
        <v>1379</v>
      </c>
      <c r="I329" s="257" t="s">
        <v>103</v>
      </c>
      <c r="J329" s="246" t="s">
        <v>317</v>
      </c>
      <c r="K329" s="246" t="s">
        <v>1349</v>
      </c>
      <c r="L329" s="243"/>
      <c r="M329" s="197">
        <f>14.9*2+9.25*2+9.2-2.1*2</f>
        <v>53.3</v>
      </c>
      <c r="N329" s="197">
        <f t="shared" si="35"/>
        <v>37.799999999999997</v>
      </c>
      <c r="O329" s="197">
        <v>9.1999999999999993</v>
      </c>
      <c r="P329" s="197">
        <v>6.3</v>
      </c>
      <c r="T329" s="197">
        <f t="shared" si="36"/>
        <v>17.110499999999995</v>
      </c>
      <c r="U329" s="197">
        <f t="shared" si="37"/>
        <v>5.04</v>
      </c>
      <c r="AP329" s="197">
        <f t="shared" si="38"/>
        <v>83.815499999999986</v>
      </c>
      <c r="AQ329" s="197">
        <f t="shared" si="39"/>
        <v>17.04</v>
      </c>
      <c r="AY329" s="197">
        <f>P329*2.67-V329</f>
        <v>16.820999999999998</v>
      </c>
    </row>
    <row r="330" spans="1:52" ht="30" x14ac:dyDescent="0.2">
      <c r="A330" s="239">
        <v>374</v>
      </c>
      <c r="B330" s="197" t="s">
        <v>118</v>
      </c>
      <c r="C330" s="197" t="s">
        <v>114</v>
      </c>
      <c r="D330" s="246" t="s">
        <v>1382</v>
      </c>
      <c r="E330" s="243" t="s">
        <v>1373</v>
      </c>
      <c r="F330" s="255">
        <v>41.7</v>
      </c>
      <c r="G330" s="251">
        <f t="shared" si="34"/>
        <v>2.4002669999999999</v>
      </c>
      <c r="H330" s="256">
        <v>2400.2669999999998</v>
      </c>
      <c r="I330" s="246" t="s">
        <v>1383</v>
      </c>
      <c r="J330" s="246" t="s">
        <v>317</v>
      </c>
      <c r="K330" s="246" t="s">
        <v>1349</v>
      </c>
      <c r="L330" s="243"/>
      <c r="M330" s="197">
        <f>14.9*2+9.25*2+9.2-2.1*2</f>
        <v>53.3</v>
      </c>
      <c r="N330" s="197">
        <f t="shared" si="35"/>
        <v>37.799999999999997</v>
      </c>
      <c r="O330" s="197">
        <v>9.1999999999999993</v>
      </c>
      <c r="P330" s="197">
        <v>6.3</v>
      </c>
      <c r="T330" s="197">
        <f t="shared" si="36"/>
        <v>17.110499999999995</v>
      </c>
      <c r="U330" s="197">
        <f t="shared" si="37"/>
        <v>5.04</v>
      </c>
      <c r="AP330" s="197">
        <f t="shared" si="38"/>
        <v>83.815499999999986</v>
      </c>
      <c r="AQ330" s="197">
        <f t="shared" si="39"/>
        <v>17.04</v>
      </c>
      <c r="AY330" s="197">
        <f>P330*2.67-V330</f>
        <v>16.820999999999998</v>
      </c>
    </row>
    <row r="331" spans="1:52" x14ac:dyDescent="0.2">
      <c r="A331" s="239">
        <v>380</v>
      </c>
      <c r="B331" s="197" t="s">
        <v>119</v>
      </c>
      <c r="C331" s="197" t="s">
        <v>112</v>
      </c>
      <c r="D331" s="246"/>
      <c r="E331" s="243" t="s">
        <v>1275</v>
      </c>
      <c r="F331" s="244"/>
      <c r="G331" s="244"/>
      <c r="H331" s="242"/>
      <c r="I331" s="242"/>
      <c r="J331" s="242"/>
      <c r="K331" s="242"/>
      <c r="L331" s="245"/>
    </row>
    <row r="332" spans="1:52" x14ac:dyDescent="0.2">
      <c r="A332" s="239">
        <v>381</v>
      </c>
      <c r="B332" s="197" t="s">
        <v>119</v>
      </c>
      <c r="C332" s="197" t="s">
        <v>112</v>
      </c>
      <c r="D332" s="246"/>
      <c r="E332" s="243" t="s">
        <v>1276</v>
      </c>
      <c r="F332" s="244"/>
      <c r="G332" s="244"/>
      <c r="H332" s="242"/>
      <c r="I332" s="242"/>
      <c r="J332" s="242"/>
      <c r="K332" s="242"/>
      <c r="L332" s="245"/>
    </row>
    <row r="333" spans="1:52" x14ac:dyDescent="0.2">
      <c r="A333" s="197">
        <v>382</v>
      </c>
      <c r="B333" s="197" t="s">
        <v>119</v>
      </c>
      <c r="C333" s="197" t="s">
        <v>112</v>
      </c>
      <c r="D333" s="246" t="s">
        <v>354</v>
      </c>
      <c r="E333" s="243" t="s">
        <v>1016</v>
      </c>
      <c r="F333" s="255">
        <v>42.6</v>
      </c>
      <c r="G333" s="251">
        <f>H333/1000</f>
        <v>2.61</v>
      </c>
      <c r="H333" s="256">
        <v>2610</v>
      </c>
      <c r="I333" s="246" t="s">
        <v>1035</v>
      </c>
      <c r="J333" s="246" t="s">
        <v>85</v>
      </c>
      <c r="K333" s="246" t="s">
        <v>1017</v>
      </c>
      <c r="L333" s="243"/>
      <c r="M333" s="197">
        <f>31.5+10.2</f>
        <v>41.7</v>
      </c>
      <c r="N333" s="197">
        <f>M333-Q333-P333-O333</f>
        <v>32.825000000000003</v>
      </c>
      <c r="O333" s="197">
        <v>1.9</v>
      </c>
      <c r="P333" s="197">
        <f>0.815+0.15+1.31</f>
        <v>2.2749999999999999</v>
      </c>
      <c r="Q333" s="197">
        <f>4.4+0.15*2</f>
        <v>4.7</v>
      </c>
      <c r="T333" s="197">
        <f>4.65*2.55+4.1*2.55+2.55*2.655+1.1*2.1</f>
        <v>31.392749999999999</v>
      </c>
      <c r="AM333" s="197">
        <f>N333*G333-T333</f>
        <v>54.280500000000011</v>
      </c>
      <c r="AN333" s="197">
        <f>O333*G333-U333</f>
        <v>4.9589999999999996</v>
      </c>
      <c r="AO333" s="197">
        <f>P333*G333-V333</f>
        <v>5.9377499999999994</v>
      </c>
      <c r="AZ333" s="197">
        <f>Q333*G333-W333</f>
        <v>12.266999999999999</v>
      </c>
    </row>
    <row r="334" spans="1:52" x14ac:dyDescent="0.2">
      <c r="A334" s="239">
        <v>383</v>
      </c>
      <c r="B334" s="197" t="s">
        <v>119</v>
      </c>
      <c r="C334" s="197" t="s">
        <v>112</v>
      </c>
      <c r="D334" s="246" t="s">
        <v>653</v>
      </c>
      <c r="E334" s="243" t="s">
        <v>619</v>
      </c>
      <c r="F334" s="255">
        <v>6.15</v>
      </c>
      <c r="G334" s="251" t="e">
        <f>H334/1000</f>
        <v>#VALUE!</v>
      </c>
      <c r="H334" s="242" t="s">
        <v>9</v>
      </c>
      <c r="I334" s="242" t="s">
        <v>9</v>
      </c>
      <c r="J334" s="246" t="s">
        <v>8</v>
      </c>
      <c r="K334" s="242" t="s">
        <v>9</v>
      </c>
      <c r="L334" s="245"/>
    </row>
    <row r="335" spans="1:52" x14ac:dyDescent="0.2">
      <c r="A335" s="239">
        <v>384</v>
      </c>
      <c r="B335" s="197" t="s">
        <v>119</v>
      </c>
      <c r="C335" s="197" t="s">
        <v>112</v>
      </c>
      <c r="D335" s="246" t="s">
        <v>385</v>
      </c>
      <c r="E335" s="243" t="s">
        <v>621</v>
      </c>
      <c r="F335" s="255">
        <v>4.5</v>
      </c>
      <c r="G335" s="251" t="e">
        <f>H335/1000</f>
        <v>#VALUE!</v>
      </c>
      <c r="H335" s="242" t="s">
        <v>9</v>
      </c>
      <c r="I335" s="242" t="s">
        <v>9</v>
      </c>
      <c r="J335" s="246" t="s">
        <v>8</v>
      </c>
      <c r="K335" s="242" t="s">
        <v>9</v>
      </c>
      <c r="L335" s="245"/>
    </row>
    <row r="336" spans="1:52" ht="30" x14ac:dyDescent="0.2">
      <c r="A336" s="197">
        <v>385</v>
      </c>
      <c r="B336" s="197" t="s">
        <v>119</v>
      </c>
      <c r="C336" s="197" t="s">
        <v>112</v>
      </c>
      <c r="D336" s="246" t="s">
        <v>348</v>
      </c>
      <c r="E336" s="243" t="s">
        <v>861</v>
      </c>
      <c r="F336" s="255">
        <v>71.8</v>
      </c>
      <c r="G336" s="255"/>
      <c r="H336" s="256">
        <v>2830</v>
      </c>
      <c r="I336" s="246" t="s">
        <v>862</v>
      </c>
      <c r="J336" s="242" t="s">
        <v>86</v>
      </c>
      <c r="K336" s="246" t="s">
        <v>863</v>
      </c>
      <c r="L336" s="243"/>
      <c r="M336" s="197">
        <v>59.65</v>
      </c>
      <c r="N336" s="197">
        <f>0.75+2.4+0.2+0.6</f>
        <v>3.95</v>
      </c>
      <c r="O336" s="197">
        <f>1.15+2.5+3.15</f>
        <v>6.8</v>
      </c>
      <c r="P336" s="197">
        <f>(0.325*2+2.25)*3</f>
        <v>8.6999999999999993</v>
      </c>
      <c r="Q336" s="197">
        <f>M336-N336-O336-P336-R336</f>
        <v>34.325000000000003</v>
      </c>
      <c r="R336" s="197">
        <f>0.455+4.88+0.54</f>
        <v>5.875</v>
      </c>
      <c r="T336" s="197">
        <f>1.1*2.1</f>
        <v>2.3100000000000005</v>
      </c>
      <c r="W336" s="197">
        <f>2.45*2.85*2+3.5*2.55+2.55*2.655</f>
        <v>29.660249999999998</v>
      </c>
      <c r="AL336" s="197">
        <f>N336*H336/1000-T336</f>
        <v>8.8684999999999992</v>
      </c>
      <c r="AM336" s="197">
        <f>O336*H336/1000-U336</f>
        <v>19.244</v>
      </c>
      <c r="AN336" s="197">
        <f>P336*H336/1000-V336</f>
        <v>24.620999999999995</v>
      </c>
      <c r="AP336" s="197">
        <f>Q336*H336/1000-W336</f>
        <v>67.47950000000003</v>
      </c>
      <c r="AZ336" s="197">
        <f>R336*H336/1000-X336</f>
        <v>16.626249999999999</v>
      </c>
    </row>
    <row r="337" spans="1:52" x14ac:dyDescent="0.2">
      <c r="A337" s="239">
        <v>386</v>
      </c>
      <c r="B337" s="197" t="s">
        <v>119</v>
      </c>
      <c r="C337" s="197" t="s">
        <v>112</v>
      </c>
      <c r="D337" s="265" t="s">
        <v>331</v>
      </c>
      <c r="E337" s="243" t="s">
        <v>861</v>
      </c>
      <c r="F337" s="255">
        <v>18.850000000000001</v>
      </c>
      <c r="G337" s="251">
        <f t="shared" ref="G337:G346" si="40">H337/1000</f>
        <v>2.83</v>
      </c>
      <c r="H337" s="256">
        <v>2830</v>
      </c>
      <c r="I337" s="246" t="s">
        <v>862</v>
      </c>
      <c r="J337" s="246" t="s">
        <v>73</v>
      </c>
      <c r="K337" s="246" t="s">
        <v>863</v>
      </c>
      <c r="L337" s="243"/>
      <c r="O337" s="265"/>
    </row>
    <row r="338" spans="1:52" x14ac:dyDescent="0.2">
      <c r="A338" s="239">
        <v>387</v>
      </c>
      <c r="B338" s="197" t="s">
        <v>119</v>
      </c>
      <c r="C338" s="197" t="s">
        <v>112</v>
      </c>
      <c r="D338" s="265" t="s">
        <v>341</v>
      </c>
      <c r="E338" s="243" t="s">
        <v>861</v>
      </c>
      <c r="F338" s="255">
        <v>53.65</v>
      </c>
      <c r="G338" s="251">
        <f t="shared" si="40"/>
        <v>2.83</v>
      </c>
      <c r="H338" s="256">
        <v>2830</v>
      </c>
      <c r="I338" s="246" t="s">
        <v>862</v>
      </c>
      <c r="J338" s="246" t="s">
        <v>88</v>
      </c>
      <c r="K338" s="246" t="s">
        <v>863</v>
      </c>
      <c r="L338" s="243"/>
    </row>
    <row r="339" spans="1:52" x14ac:dyDescent="0.2">
      <c r="A339" s="197">
        <v>388</v>
      </c>
      <c r="B339" s="197" t="s">
        <v>119</v>
      </c>
      <c r="C339" s="197" t="s">
        <v>112</v>
      </c>
      <c r="D339" s="265" t="s">
        <v>335</v>
      </c>
      <c r="E339" s="243" t="s">
        <v>861</v>
      </c>
      <c r="F339" s="255">
        <v>38.299999999999997</v>
      </c>
      <c r="G339" s="251">
        <f t="shared" si="40"/>
        <v>2.83</v>
      </c>
      <c r="H339" s="256">
        <v>2830</v>
      </c>
      <c r="I339" s="246" t="s">
        <v>862</v>
      </c>
      <c r="J339" s="246" t="s">
        <v>88</v>
      </c>
      <c r="K339" s="246" t="s">
        <v>863</v>
      </c>
      <c r="L339" s="243"/>
    </row>
    <row r="340" spans="1:52" x14ac:dyDescent="0.2">
      <c r="A340" s="239">
        <v>389</v>
      </c>
      <c r="B340" s="197" t="s">
        <v>119</v>
      </c>
      <c r="C340" s="197" t="s">
        <v>112</v>
      </c>
      <c r="D340" s="246" t="s">
        <v>444</v>
      </c>
      <c r="E340" s="243" t="s">
        <v>811</v>
      </c>
      <c r="F340" s="255">
        <v>4.75</v>
      </c>
      <c r="G340" s="251">
        <f t="shared" si="40"/>
        <v>2.4</v>
      </c>
      <c r="H340" s="256">
        <v>2400</v>
      </c>
      <c r="I340" s="246" t="s">
        <v>812</v>
      </c>
      <c r="J340" s="246" t="s">
        <v>60</v>
      </c>
      <c r="K340" s="246" t="s">
        <v>756</v>
      </c>
      <c r="L340" s="243"/>
      <c r="M340" s="197">
        <f>9.8</f>
        <v>9.8000000000000007</v>
      </c>
      <c r="N340" s="197">
        <f>1.5</f>
        <v>1.5</v>
      </c>
      <c r="O340" s="197">
        <f>M340-P340-N340</f>
        <v>5.25</v>
      </c>
      <c r="P340" s="197">
        <f>0.6+2.45</f>
        <v>3.0500000000000003</v>
      </c>
      <c r="AH340" s="197">
        <f>N340*G340-T340</f>
        <v>3.5999999999999996</v>
      </c>
      <c r="AP340" s="197">
        <f>O340*G340-U340</f>
        <v>12.6</v>
      </c>
      <c r="AR340" s="197">
        <f>P340*G340-V340</f>
        <v>7.32</v>
      </c>
    </row>
    <row r="341" spans="1:52" ht="30" x14ac:dyDescent="0.2">
      <c r="A341" s="239">
        <v>390</v>
      </c>
      <c r="B341" s="197" t="s">
        <v>119</v>
      </c>
      <c r="C341" s="197" t="s">
        <v>112</v>
      </c>
      <c r="D341" s="246" t="s">
        <v>417</v>
      </c>
      <c r="E341" s="272" t="s">
        <v>104</v>
      </c>
      <c r="F341" s="255">
        <v>4.45</v>
      </c>
      <c r="G341" s="251">
        <f t="shared" si="40"/>
        <v>2.4</v>
      </c>
      <c r="H341" s="256">
        <v>2400</v>
      </c>
      <c r="I341" s="246" t="s">
        <v>812</v>
      </c>
      <c r="J341" s="246" t="s">
        <v>70</v>
      </c>
      <c r="K341" s="246" t="s">
        <v>752</v>
      </c>
      <c r="L341" s="243"/>
      <c r="M341" s="197">
        <v>8.8000000000000007</v>
      </c>
      <c r="N341" s="197">
        <f>2.2</f>
        <v>2.2000000000000002</v>
      </c>
      <c r="O341" s="197">
        <f>M341-N341</f>
        <v>6.6000000000000005</v>
      </c>
      <c r="U341" s="197">
        <f>0.85*2.4</f>
        <v>2.04</v>
      </c>
      <c r="AP341" s="197">
        <f>N341*2.67-T341</f>
        <v>5.8740000000000006</v>
      </c>
      <c r="AR341" s="197">
        <f>O341*G341-U341</f>
        <v>13.8</v>
      </c>
    </row>
    <row r="342" spans="1:52" ht="30" x14ac:dyDescent="0.2">
      <c r="A342" s="197">
        <v>391</v>
      </c>
      <c r="B342" s="197" t="s">
        <v>119</v>
      </c>
      <c r="C342" s="197" t="s">
        <v>112</v>
      </c>
      <c r="D342" s="246" t="s">
        <v>376</v>
      </c>
      <c r="E342" s="243" t="s">
        <v>818</v>
      </c>
      <c r="F342" s="255">
        <v>6.8</v>
      </c>
      <c r="G342" s="251">
        <f t="shared" si="40"/>
        <v>2.4</v>
      </c>
      <c r="H342" s="256">
        <v>2400</v>
      </c>
      <c r="I342" s="246" t="s">
        <v>812</v>
      </c>
      <c r="J342" s="246" t="s">
        <v>34</v>
      </c>
      <c r="K342" s="246" t="s">
        <v>752</v>
      </c>
      <c r="L342" s="243"/>
      <c r="M342" s="197">
        <v>14</v>
      </c>
      <c r="N342" s="197">
        <f>M342</f>
        <v>14</v>
      </c>
      <c r="AP342" s="197">
        <f>N342*G342-T342</f>
        <v>33.6</v>
      </c>
    </row>
    <row r="343" spans="1:52" ht="30" x14ac:dyDescent="0.2">
      <c r="A343" s="239">
        <v>392</v>
      </c>
      <c r="B343" s="197" t="s">
        <v>119</v>
      </c>
      <c r="C343" s="197" t="s">
        <v>112</v>
      </c>
      <c r="D343" s="246" t="s">
        <v>454</v>
      </c>
      <c r="E343" s="243" t="s">
        <v>869</v>
      </c>
      <c r="F343" s="255">
        <v>8.15</v>
      </c>
      <c r="G343" s="251">
        <f t="shared" si="40"/>
        <v>2.4</v>
      </c>
      <c r="H343" s="256">
        <v>2400</v>
      </c>
      <c r="I343" s="246" t="s">
        <v>862</v>
      </c>
      <c r="J343" s="246" t="s">
        <v>89</v>
      </c>
      <c r="K343" s="246" t="s">
        <v>738</v>
      </c>
      <c r="L343" s="243"/>
      <c r="M343" s="197">
        <v>12.05</v>
      </c>
      <c r="N343" s="197">
        <f>0.2+0.8</f>
        <v>1</v>
      </c>
      <c r="O343" s="197">
        <f>M343-P343-N343</f>
        <v>7.3000000000000007</v>
      </c>
      <c r="P343" s="197">
        <f>0.6*2+2.55</f>
        <v>3.75</v>
      </c>
      <c r="U343" s="197">
        <f>1.8*2.4</f>
        <v>4.32</v>
      </c>
      <c r="AM343" s="197">
        <f>N343*G343-T343</f>
        <v>2.4</v>
      </c>
      <c r="AP343" s="197">
        <f>O343*G343-U343</f>
        <v>13.2</v>
      </c>
      <c r="AR343" s="197">
        <f>P343*G343-V343</f>
        <v>9</v>
      </c>
    </row>
    <row r="344" spans="1:52" x14ac:dyDescent="0.2">
      <c r="A344" s="239">
        <v>393</v>
      </c>
      <c r="B344" s="197" t="s">
        <v>119</v>
      </c>
      <c r="C344" s="197" t="s">
        <v>112</v>
      </c>
      <c r="D344" s="265" t="s">
        <v>392</v>
      </c>
      <c r="E344" s="243" t="s">
        <v>871</v>
      </c>
      <c r="F344" s="255">
        <v>8.0500000000000007</v>
      </c>
      <c r="G344" s="251">
        <f t="shared" si="40"/>
        <v>2.4</v>
      </c>
      <c r="H344" s="256">
        <v>2400</v>
      </c>
      <c r="I344" s="246" t="s">
        <v>862</v>
      </c>
      <c r="J344" s="246" t="s">
        <v>36</v>
      </c>
      <c r="K344" s="246" t="s">
        <v>738</v>
      </c>
      <c r="L344" s="243"/>
      <c r="AM344" s="197">
        <f>N344*G344-T344</f>
        <v>0</v>
      </c>
      <c r="AP344" s="197">
        <f>O344*G344-U344</f>
        <v>0</v>
      </c>
    </row>
    <row r="345" spans="1:52" x14ac:dyDescent="0.2">
      <c r="A345" s="197">
        <v>394</v>
      </c>
      <c r="B345" s="197" t="s">
        <v>119</v>
      </c>
      <c r="C345" s="197" t="s">
        <v>112</v>
      </c>
      <c r="D345" s="265" t="s">
        <v>413</v>
      </c>
      <c r="E345" s="243" t="s">
        <v>873</v>
      </c>
      <c r="F345" s="255">
        <v>17.399999999999999</v>
      </c>
      <c r="G345" s="251">
        <f t="shared" si="40"/>
        <v>2.4</v>
      </c>
      <c r="H345" s="256">
        <v>2400</v>
      </c>
      <c r="I345" s="246" t="s">
        <v>862</v>
      </c>
      <c r="J345" s="246" t="s">
        <v>90</v>
      </c>
      <c r="K345" s="246" t="s">
        <v>738</v>
      </c>
      <c r="L345" s="243"/>
      <c r="AM345" s="197">
        <f>N345*G345-T345</f>
        <v>0</v>
      </c>
      <c r="AP345" s="197">
        <f>O345*G345-U345</f>
        <v>0</v>
      </c>
    </row>
    <row r="346" spans="1:52" ht="60" x14ac:dyDescent="0.2">
      <c r="A346" s="239">
        <v>395</v>
      </c>
      <c r="B346" s="197" t="s">
        <v>119</v>
      </c>
      <c r="C346" s="197" t="s">
        <v>112</v>
      </c>
      <c r="D346" s="265" t="s">
        <v>483</v>
      </c>
      <c r="E346" s="243" t="s">
        <v>875</v>
      </c>
      <c r="F346" s="255">
        <v>71.400000000000006</v>
      </c>
      <c r="G346" s="251">
        <f t="shared" si="40"/>
        <v>2.83</v>
      </c>
      <c r="H346" s="256">
        <v>2830</v>
      </c>
      <c r="I346" s="246" t="s">
        <v>862</v>
      </c>
      <c r="J346" s="246" t="s">
        <v>316</v>
      </c>
      <c r="K346" s="246" t="s">
        <v>863</v>
      </c>
      <c r="L346" s="243"/>
      <c r="M346" s="197">
        <f>99.7+1.26*5-9.45-6.5</f>
        <v>90.05</v>
      </c>
      <c r="N346" s="197">
        <f>1.6+1.26*5+0.2+0.6</f>
        <v>8.6999999999999993</v>
      </c>
      <c r="O346" s="197">
        <f>(0.325*2+2.25)*6</f>
        <v>17.399999999999999</v>
      </c>
      <c r="P346" s="197">
        <f>M346-R346-O346-N346-Q346</f>
        <v>53.739999999999981</v>
      </c>
      <c r="Q346" s="197">
        <f>3.2</f>
        <v>3.2</v>
      </c>
      <c r="R346" s="197">
        <f>0.45+6.56</f>
        <v>7.01</v>
      </c>
      <c r="V346" s="197">
        <f>2.45*2.85+2.45*2.85</f>
        <v>13.965000000000002</v>
      </c>
      <c r="AM346" s="197">
        <f>N346*G346-T346</f>
        <v>24.620999999999999</v>
      </c>
      <c r="AN346" s="197">
        <f>O346*G346-U346</f>
        <v>49.241999999999997</v>
      </c>
      <c r="AP346" s="197">
        <f>P346*G346-V346</f>
        <v>138.11919999999995</v>
      </c>
      <c r="AQ346" s="197">
        <f>Q346*G346-W346</f>
        <v>9.0560000000000009</v>
      </c>
      <c r="AZ346" s="197">
        <f>R346*G346-X346</f>
        <v>19.8383</v>
      </c>
    </row>
    <row r="347" spans="1:52" x14ac:dyDescent="0.2">
      <c r="A347" s="239">
        <v>396</v>
      </c>
      <c r="B347" s="197" t="s">
        <v>119</v>
      </c>
      <c r="C347" s="197" t="s">
        <v>112</v>
      </c>
      <c r="D347" s="246" t="s">
        <v>366</v>
      </c>
      <c r="E347" s="243" t="s">
        <v>1290</v>
      </c>
      <c r="F347" s="244"/>
      <c r="G347" s="244"/>
      <c r="H347" s="242"/>
      <c r="I347" s="242"/>
      <c r="J347" s="242"/>
      <c r="K347" s="242"/>
      <c r="L347" s="245"/>
    </row>
    <row r="348" spans="1:52" ht="30" x14ac:dyDescent="0.2">
      <c r="A348" s="197">
        <v>397</v>
      </c>
      <c r="B348" s="197" t="s">
        <v>119</v>
      </c>
      <c r="C348" s="197" t="s">
        <v>112</v>
      </c>
      <c r="D348" s="246" t="s">
        <v>402</v>
      </c>
      <c r="E348" s="243" t="s">
        <v>877</v>
      </c>
      <c r="F348" s="255">
        <v>5.6</v>
      </c>
      <c r="G348" s="251">
        <f>H348/1000</f>
        <v>2.4</v>
      </c>
      <c r="H348" s="256">
        <v>2400</v>
      </c>
      <c r="I348" s="246" t="s">
        <v>862</v>
      </c>
      <c r="J348" s="246" t="s">
        <v>34</v>
      </c>
      <c r="K348" s="246" t="s">
        <v>752</v>
      </c>
      <c r="L348" s="243"/>
      <c r="M348" s="197">
        <v>9.75</v>
      </c>
      <c r="N348" s="197">
        <f>M348</f>
        <v>9.75</v>
      </c>
      <c r="AP348" s="197">
        <f>N348*G348-T348</f>
        <v>23.4</v>
      </c>
    </row>
    <row r="349" spans="1:52" x14ac:dyDescent="0.2">
      <c r="A349" s="239">
        <v>398</v>
      </c>
      <c r="B349" s="197" t="s">
        <v>119</v>
      </c>
      <c r="C349" s="197" t="s">
        <v>112</v>
      </c>
      <c r="D349" s="246" t="s">
        <v>466</v>
      </c>
      <c r="E349" s="243" t="s">
        <v>879</v>
      </c>
      <c r="F349" s="255">
        <v>15.85</v>
      </c>
      <c r="G349" s="251">
        <f>H349/1000</f>
        <v>2.67</v>
      </c>
      <c r="H349" s="246">
        <v>2670</v>
      </c>
      <c r="I349" s="246" t="s">
        <v>862</v>
      </c>
      <c r="J349" s="246" t="s">
        <v>46</v>
      </c>
      <c r="K349" s="246" t="s">
        <v>738</v>
      </c>
      <c r="L349" s="243"/>
      <c r="M349" s="197">
        <v>17</v>
      </c>
      <c r="N349" s="197">
        <f>M349-O349</f>
        <v>11.95</v>
      </c>
      <c r="O349" s="197">
        <f>0.6+3.3+1.15</f>
        <v>5.05</v>
      </c>
      <c r="T349" s="197">
        <f>3.3*2.55</f>
        <v>8.4149999999999991</v>
      </c>
      <c r="AP349" s="197">
        <f>N349*G349-T349</f>
        <v>23.491499999999998</v>
      </c>
      <c r="AQ349" s="197">
        <f>O349*G349-U349</f>
        <v>13.483499999999999</v>
      </c>
    </row>
    <row r="350" spans="1:52" x14ac:dyDescent="0.2">
      <c r="A350" s="239">
        <v>399</v>
      </c>
      <c r="B350" s="197" t="s">
        <v>119</v>
      </c>
      <c r="C350" s="197" t="s">
        <v>112</v>
      </c>
      <c r="D350" s="246" t="s">
        <v>471</v>
      </c>
      <c r="E350" s="243" t="s">
        <v>780</v>
      </c>
      <c r="F350" s="255">
        <v>5.65</v>
      </c>
      <c r="G350" s="251">
        <f>H350/1000</f>
        <v>2.4</v>
      </c>
      <c r="H350" s="256">
        <v>2400</v>
      </c>
      <c r="I350" s="246" t="s">
        <v>777</v>
      </c>
      <c r="J350" s="246" t="s">
        <v>101</v>
      </c>
      <c r="K350" s="246" t="s">
        <v>738</v>
      </c>
      <c r="L350" s="243"/>
      <c r="M350" s="197">
        <f>2.5+2.2*2</f>
        <v>6.9</v>
      </c>
      <c r="N350" s="197">
        <f>2.5+0.65</f>
        <v>3.15</v>
      </c>
      <c r="O350" s="197">
        <f>M350-N350</f>
        <v>3.7500000000000004</v>
      </c>
      <c r="U350" s="197">
        <f>1.4*2.4</f>
        <v>3.36</v>
      </c>
      <c r="AQ350" s="197">
        <f>N350*G350-T350</f>
        <v>7.56</v>
      </c>
      <c r="AT350" s="197">
        <f>O350*G350-U350</f>
        <v>5.6400000000000006</v>
      </c>
    </row>
    <row r="351" spans="1:52" x14ac:dyDescent="0.2">
      <c r="A351" s="197">
        <v>400</v>
      </c>
      <c r="B351" s="197" t="s">
        <v>119</v>
      </c>
      <c r="C351" s="197" t="s">
        <v>112</v>
      </c>
      <c r="D351" s="246" t="s">
        <v>781</v>
      </c>
      <c r="E351" s="243" t="s">
        <v>782</v>
      </c>
      <c r="F351" s="255">
        <v>8.6999999999999993</v>
      </c>
      <c r="G351" s="251">
        <f>H351/1000</f>
        <v>2.67</v>
      </c>
      <c r="H351" s="256">
        <v>2670</v>
      </c>
      <c r="I351" s="246" t="s">
        <v>777</v>
      </c>
      <c r="J351" s="246" t="s">
        <v>101</v>
      </c>
      <c r="K351" s="246" t="s">
        <v>778</v>
      </c>
      <c r="L351" s="243"/>
      <c r="M351" s="197">
        <f>3.935*2+2.23</f>
        <v>10.1</v>
      </c>
      <c r="N351" s="197">
        <f>3.935</f>
        <v>3.9350000000000001</v>
      </c>
      <c r="O351" s="197">
        <f>M351-N351</f>
        <v>6.1649999999999991</v>
      </c>
      <c r="U351" s="197">
        <f>2.2*2.52</f>
        <v>5.5440000000000005</v>
      </c>
      <c r="AQ351" s="197">
        <f>N351*G351-T351</f>
        <v>10.506449999999999</v>
      </c>
      <c r="AT351" s="197">
        <f>O351*G351-U351</f>
        <v>10.916549999999997</v>
      </c>
    </row>
    <row r="352" spans="1:52" x14ac:dyDescent="0.2">
      <c r="A352" s="239">
        <v>401</v>
      </c>
      <c r="B352" s="197" t="s">
        <v>119</v>
      </c>
      <c r="C352" s="197" t="s">
        <v>112</v>
      </c>
      <c r="D352" s="246" t="s">
        <v>435</v>
      </c>
      <c r="E352" s="243" t="s">
        <v>669</v>
      </c>
      <c r="F352" s="255">
        <v>21.5</v>
      </c>
      <c r="G352" s="255"/>
      <c r="H352" s="256">
        <v>2910</v>
      </c>
      <c r="I352" s="246" t="s">
        <v>1252</v>
      </c>
      <c r="J352" s="246" t="s">
        <v>92</v>
      </c>
      <c r="K352" s="246" t="s">
        <v>671</v>
      </c>
      <c r="L352" s="243"/>
    </row>
    <row r="353" spans="1:52" ht="45" x14ac:dyDescent="0.2">
      <c r="A353" s="239">
        <v>402</v>
      </c>
      <c r="B353" s="197" t="s">
        <v>119</v>
      </c>
      <c r="C353" s="197" t="s">
        <v>112</v>
      </c>
      <c r="D353" s="246" t="s">
        <v>460</v>
      </c>
      <c r="E353" s="243" t="s">
        <v>1239</v>
      </c>
      <c r="F353" s="255">
        <v>27</v>
      </c>
      <c r="G353" s="255"/>
      <c r="H353" s="256">
        <v>2910</v>
      </c>
      <c r="I353" s="246" t="s">
        <v>1240</v>
      </c>
      <c r="J353" s="246" t="s">
        <v>92</v>
      </c>
      <c r="K353" s="246" t="s">
        <v>671</v>
      </c>
      <c r="L353" s="243" t="s">
        <v>105</v>
      </c>
    </row>
    <row r="354" spans="1:52" x14ac:dyDescent="0.2">
      <c r="A354" s="197">
        <v>403</v>
      </c>
      <c r="B354" s="197" t="s">
        <v>119</v>
      </c>
      <c r="C354" s="197" t="s">
        <v>112</v>
      </c>
      <c r="D354" s="246" t="s">
        <v>426</v>
      </c>
      <c r="E354" s="243" t="s">
        <v>743</v>
      </c>
      <c r="F354" s="255">
        <v>18.149999999999999</v>
      </c>
      <c r="G354" s="251">
        <f>H354/1000</f>
        <v>2.67</v>
      </c>
      <c r="H354" s="256">
        <v>2670</v>
      </c>
      <c r="I354" s="246" t="s">
        <v>651</v>
      </c>
      <c r="J354" s="246" t="s">
        <v>34</v>
      </c>
      <c r="K354" s="246" t="s">
        <v>738</v>
      </c>
      <c r="L354" s="243"/>
      <c r="M354" s="197">
        <f>3.3+6.35+2.2+2.15</f>
        <v>13.999999999999998</v>
      </c>
      <c r="N354" s="197">
        <f>M354</f>
        <v>13.999999999999998</v>
      </c>
      <c r="T354" s="197">
        <f>3.26*2.55</f>
        <v>8.3129999999999988</v>
      </c>
      <c r="AP354" s="197">
        <f>N354*G354-T354</f>
        <v>29.066999999999997</v>
      </c>
    </row>
    <row r="355" spans="1:52" x14ac:dyDescent="0.2">
      <c r="A355" s="239">
        <v>404</v>
      </c>
      <c r="B355" s="197" t="s">
        <v>119</v>
      </c>
      <c r="C355" s="197" t="s">
        <v>112</v>
      </c>
      <c r="D355" s="246" t="s">
        <v>399</v>
      </c>
      <c r="E355" s="243" t="s">
        <v>750</v>
      </c>
      <c r="F355" s="255">
        <v>18.149999999999999</v>
      </c>
      <c r="G355" s="251">
        <f>H355/1000</f>
        <v>2.67</v>
      </c>
      <c r="H355" s="246">
        <v>2670</v>
      </c>
      <c r="I355" s="246" t="s">
        <v>651</v>
      </c>
      <c r="J355" s="246" t="s">
        <v>34</v>
      </c>
      <c r="K355" s="246" t="s">
        <v>752</v>
      </c>
      <c r="L355" s="243"/>
      <c r="M355" s="197">
        <f>3.3+6.35+2.2+2.15</f>
        <v>13.999999999999998</v>
      </c>
      <c r="N355" s="197">
        <f>M355</f>
        <v>13.999999999999998</v>
      </c>
      <c r="T355" s="197">
        <f>3.26*2.55</f>
        <v>8.3129999999999988</v>
      </c>
      <c r="AP355" s="197">
        <f>N355*G355-T355</f>
        <v>29.066999999999997</v>
      </c>
    </row>
    <row r="356" spans="1:52" x14ac:dyDescent="0.2">
      <c r="A356" s="239">
        <v>405</v>
      </c>
      <c r="B356" s="197" t="s">
        <v>119</v>
      </c>
      <c r="C356" s="197" t="s">
        <v>112</v>
      </c>
      <c r="D356" s="246" t="s">
        <v>429</v>
      </c>
      <c r="E356" s="243" t="s">
        <v>784</v>
      </c>
      <c r="F356" s="255">
        <v>5.3</v>
      </c>
      <c r="G356" s="251">
        <f>H356/1000</f>
        <v>2.4</v>
      </c>
      <c r="H356" s="256">
        <v>2400</v>
      </c>
      <c r="I356" s="246" t="s">
        <v>777</v>
      </c>
      <c r="J356" s="246" t="s">
        <v>45</v>
      </c>
      <c r="K356" s="246" t="s">
        <v>738</v>
      </c>
      <c r="L356" s="243"/>
      <c r="M356" s="197">
        <f>1.2*2+2+0.66</f>
        <v>5.0600000000000005</v>
      </c>
      <c r="N356" s="197">
        <f>M356</f>
        <v>5.0600000000000005</v>
      </c>
      <c r="AQ356" s="197">
        <f>N356*G356-T356</f>
        <v>12.144</v>
      </c>
    </row>
    <row r="357" spans="1:52" x14ac:dyDescent="0.2">
      <c r="A357" s="197">
        <v>406</v>
      </c>
      <c r="B357" s="197" t="s">
        <v>119</v>
      </c>
      <c r="C357" s="197" t="s">
        <v>112</v>
      </c>
      <c r="D357" s="246"/>
      <c r="E357" s="243" t="s">
        <v>1292</v>
      </c>
      <c r="F357" s="244"/>
      <c r="G357" s="244"/>
      <c r="H357" s="242"/>
      <c r="I357" s="242"/>
      <c r="J357" s="242"/>
      <c r="K357" s="242"/>
      <c r="L357" s="245"/>
    </row>
    <row r="358" spans="1:52" ht="30" x14ac:dyDescent="0.2">
      <c r="A358" s="239">
        <v>407</v>
      </c>
      <c r="B358" s="197" t="s">
        <v>119</v>
      </c>
      <c r="C358" s="197" t="s">
        <v>112</v>
      </c>
      <c r="D358" s="246" t="s">
        <v>1384</v>
      </c>
      <c r="E358" s="243" t="s">
        <v>1373</v>
      </c>
      <c r="F358" s="255">
        <v>41.7</v>
      </c>
      <c r="G358" s="251">
        <f t="shared" ref="G358:G365" si="41">H358/1000</f>
        <v>2.4002669999999999</v>
      </c>
      <c r="H358" s="256">
        <v>2400.2669999999998</v>
      </c>
      <c r="I358" s="246" t="s">
        <v>1385</v>
      </c>
      <c r="J358" s="246" t="s">
        <v>317</v>
      </c>
      <c r="K358" s="246" t="s">
        <v>1349</v>
      </c>
      <c r="L358" s="243"/>
      <c r="M358" s="197">
        <f>14.9*2+9.25*2+9.2-2.1*2</f>
        <v>53.3</v>
      </c>
      <c r="N358" s="197">
        <f t="shared" ref="N358:N365" si="42">M358-O358-P358</f>
        <v>37.799999999999997</v>
      </c>
      <c r="O358" s="197">
        <v>9.1999999999999993</v>
      </c>
      <c r="P358" s="197">
        <v>6.3</v>
      </c>
      <c r="T358" s="197">
        <f t="shared" ref="T358:T365" si="43">(3.26+0.19+3.26)*2.55</f>
        <v>17.110499999999995</v>
      </c>
      <c r="U358" s="197">
        <f t="shared" ref="U358:U365" si="44">1.05*2.4*2</f>
        <v>5.04</v>
      </c>
      <c r="AP358" s="197">
        <f t="shared" ref="AP358:AP365" si="45">N358*2.67-T358</f>
        <v>83.815499999999986</v>
      </c>
      <c r="AQ358" s="197">
        <f t="shared" ref="AQ358:AQ365" si="46">O358*2.4-U358</f>
        <v>17.04</v>
      </c>
      <c r="AY358" s="197">
        <f>P358*2.67-V358</f>
        <v>16.820999999999998</v>
      </c>
    </row>
    <row r="359" spans="1:52" ht="30" x14ac:dyDescent="0.2">
      <c r="A359" s="239">
        <v>408</v>
      </c>
      <c r="B359" s="197" t="s">
        <v>119</v>
      </c>
      <c r="C359" s="197" t="s">
        <v>112</v>
      </c>
      <c r="D359" s="246" t="s">
        <v>1386</v>
      </c>
      <c r="E359" s="243" t="s">
        <v>1373</v>
      </c>
      <c r="F359" s="255">
        <v>41.7</v>
      </c>
      <c r="G359" s="251">
        <f t="shared" si="41"/>
        <v>2.4002669999999999</v>
      </c>
      <c r="H359" s="256">
        <v>2400.2669999999998</v>
      </c>
      <c r="I359" s="246" t="s">
        <v>1385</v>
      </c>
      <c r="J359" s="246" t="s">
        <v>46</v>
      </c>
      <c r="K359" s="246" t="s">
        <v>1387</v>
      </c>
      <c r="L359" s="243"/>
      <c r="M359" s="197">
        <f>14.9*2+9.15*2+9.2-2.1*2</f>
        <v>53.099999999999994</v>
      </c>
      <c r="N359" s="197">
        <f t="shared" si="42"/>
        <v>43.899999999999991</v>
      </c>
      <c r="O359" s="197">
        <v>9.1999999999999993</v>
      </c>
      <c r="T359" s="197">
        <f t="shared" si="43"/>
        <v>17.110499999999995</v>
      </c>
      <c r="U359" s="197">
        <f t="shared" si="44"/>
        <v>5.04</v>
      </c>
      <c r="AP359" s="197">
        <f t="shared" si="45"/>
        <v>100.10249999999999</v>
      </c>
      <c r="AQ359" s="197">
        <f t="shared" si="46"/>
        <v>17.04</v>
      </c>
    </row>
    <row r="360" spans="1:52" ht="30" x14ac:dyDescent="0.2">
      <c r="A360" s="197">
        <v>409</v>
      </c>
      <c r="B360" s="197" t="s">
        <v>119</v>
      </c>
      <c r="C360" s="197" t="s">
        <v>112</v>
      </c>
      <c r="D360" s="246" t="s">
        <v>1388</v>
      </c>
      <c r="E360" s="243" t="s">
        <v>1373</v>
      </c>
      <c r="F360" s="255">
        <v>41.7</v>
      </c>
      <c r="G360" s="251">
        <f t="shared" si="41"/>
        <v>2.4002669999999999</v>
      </c>
      <c r="H360" s="256">
        <v>2400.2669999999998</v>
      </c>
      <c r="I360" s="246" t="s">
        <v>1385</v>
      </c>
      <c r="J360" s="246" t="s">
        <v>46</v>
      </c>
      <c r="K360" s="246" t="s">
        <v>1389</v>
      </c>
      <c r="L360" s="243"/>
      <c r="M360" s="197">
        <f>14.9*2+9.15*2+9.2-2.1*2</f>
        <v>53.099999999999994</v>
      </c>
      <c r="N360" s="197">
        <f t="shared" si="42"/>
        <v>43.899999999999991</v>
      </c>
      <c r="O360" s="197">
        <v>9.1999999999999993</v>
      </c>
      <c r="T360" s="197">
        <f t="shared" si="43"/>
        <v>17.110499999999995</v>
      </c>
      <c r="U360" s="197">
        <f t="shared" si="44"/>
        <v>5.04</v>
      </c>
      <c r="AP360" s="197">
        <f t="shared" si="45"/>
        <v>100.10249999999999</v>
      </c>
      <c r="AQ360" s="197">
        <f t="shared" si="46"/>
        <v>17.04</v>
      </c>
    </row>
    <row r="361" spans="1:52" ht="30" x14ac:dyDescent="0.2">
      <c r="A361" s="239">
        <v>410</v>
      </c>
      <c r="B361" s="197" t="s">
        <v>119</v>
      </c>
      <c r="C361" s="197" t="s">
        <v>112</v>
      </c>
      <c r="D361" s="246" t="s">
        <v>1390</v>
      </c>
      <c r="E361" s="243" t="s">
        <v>1373</v>
      </c>
      <c r="F361" s="255">
        <v>41.7</v>
      </c>
      <c r="G361" s="251">
        <f t="shared" si="41"/>
        <v>2.4002669999999999</v>
      </c>
      <c r="H361" s="256">
        <v>2400.2669999999998</v>
      </c>
      <c r="I361" s="246" t="s">
        <v>1385</v>
      </c>
      <c r="J361" s="246" t="s">
        <v>317</v>
      </c>
      <c r="K361" s="246" t="s">
        <v>1349</v>
      </c>
      <c r="L361" s="243"/>
      <c r="M361" s="197">
        <f>14.9*2+9.25*2+9.2-2.1*2</f>
        <v>53.3</v>
      </c>
      <c r="N361" s="197">
        <f t="shared" si="42"/>
        <v>37.799999999999997</v>
      </c>
      <c r="O361" s="197">
        <v>9.1999999999999993</v>
      </c>
      <c r="P361" s="197">
        <v>6.3</v>
      </c>
      <c r="T361" s="197">
        <f t="shared" si="43"/>
        <v>17.110499999999995</v>
      </c>
      <c r="U361" s="197">
        <f t="shared" si="44"/>
        <v>5.04</v>
      </c>
      <c r="AP361" s="197">
        <f t="shared" si="45"/>
        <v>83.815499999999986</v>
      </c>
      <c r="AQ361" s="197">
        <f t="shared" si="46"/>
        <v>17.04</v>
      </c>
      <c r="AY361" s="197">
        <f>P361*2.67-V361</f>
        <v>16.820999999999998</v>
      </c>
    </row>
    <row r="362" spans="1:52" ht="30" x14ac:dyDescent="0.2">
      <c r="A362" s="239">
        <v>411</v>
      </c>
      <c r="B362" s="197" t="s">
        <v>119</v>
      </c>
      <c r="C362" s="197" t="s">
        <v>112</v>
      </c>
      <c r="D362" s="246" t="s">
        <v>1391</v>
      </c>
      <c r="E362" s="243" t="s">
        <v>1373</v>
      </c>
      <c r="F362" s="255">
        <v>41.7</v>
      </c>
      <c r="G362" s="251">
        <f t="shared" si="41"/>
        <v>2.4002669999999999</v>
      </c>
      <c r="H362" s="256">
        <v>2400.2669999999998</v>
      </c>
      <c r="I362" s="246" t="s">
        <v>1385</v>
      </c>
      <c r="J362" s="246" t="s">
        <v>46</v>
      </c>
      <c r="K362" s="246" t="s">
        <v>1392</v>
      </c>
      <c r="L362" s="243"/>
      <c r="M362" s="197">
        <f>14.9*2+9.15*2+9.2-2.1*2</f>
        <v>53.099999999999994</v>
      </c>
      <c r="N362" s="197">
        <f t="shared" si="42"/>
        <v>43.899999999999991</v>
      </c>
      <c r="O362" s="197">
        <v>9.1999999999999993</v>
      </c>
      <c r="T362" s="197">
        <f t="shared" si="43"/>
        <v>17.110499999999995</v>
      </c>
      <c r="U362" s="197">
        <f t="shared" si="44"/>
        <v>5.04</v>
      </c>
      <c r="AP362" s="197">
        <f t="shared" si="45"/>
        <v>100.10249999999999</v>
      </c>
      <c r="AQ362" s="197">
        <f t="shared" si="46"/>
        <v>17.04</v>
      </c>
    </row>
    <row r="363" spans="1:52" ht="30" x14ac:dyDescent="0.2">
      <c r="A363" s="197">
        <v>412</v>
      </c>
      <c r="B363" s="197" t="s">
        <v>119</v>
      </c>
      <c r="C363" s="197" t="s">
        <v>112</v>
      </c>
      <c r="D363" s="246" t="s">
        <v>1393</v>
      </c>
      <c r="E363" s="243" t="s">
        <v>1373</v>
      </c>
      <c r="F363" s="255">
        <v>41.7</v>
      </c>
      <c r="G363" s="251">
        <f t="shared" si="41"/>
        <v>2.4002669999999999</v>
      </c>
      <c r="H363" s="256">
        <v>2400.2669999999998</v>
      </c>
      <c r="I363" s="246" t="s">
        <v>1385</v>
      </c>
      <c r="J363" s="246" t="s">
        <v>317</v>
      </c>
      <c r="K363" s="246" t="s">
        <v>1349</v>
      </c>
      <c r="L363" s="243"/>
      <c r="M363" s="197">
        <f>14.9*2+9.25*2+9.2-2.1*2</f>
        <v>53.3</v>
      </c>
      <c r="N363" s="197">
        <f t="shared" si="42"/>
        <v>37.799999999999997</v>
      </c>
      <c r="O363" s="197">
        <v>9.1999999999999993</v>
      </c>
      <c r="P363" s="197">
        <v>6.3</v>
      </c>
      <c r="T363" s="197">
        <f t="shared" si="43"/>
        <v>17.110499999999995</v>
      </c>
      <c r="U363" s="197">
        <f t="shared" si="44"/>
        <v>5.04</v>
      </c>
      <c r="AP363" s="197">
        <f t="shared" si="45"/>
        <v>83.815499999999986</v>
      </c>
      <c r="AQ363" s="197">
        <f t="shared" si="46"/>
        <v>17.04</v>
      </c>
      <c r="AY363" s="197">
        <f>P363*2.67-V363</f>
        <v>16.820999999999998</v>
      </c>
    </row>
    <row r="364" spans="1:52" ht="30" x14ac:dyDescent="0.2">
      <c r="A364" s="239">
        <v>413</v>
      </c>
      <c r="B364" s="197" t="s">
        <v>119</v>
      </c>
      <c r="C364" s="197" t="s">
        <v>112</v>
      </c>
      <c r="D364" s="246" t="s">
        <v>1394</v>
      </c>
      <c r="E364" s="243" t="s">
        <v>1373</v>
      </c>
      <c r="F364" s="255">
        <v>41.7</v>
      </c>
      <c r="G364" s="251">
        <f t="shared" si="41"/>
        <v>2.4002669999999999</v>
      </c>
      <c r="H364" s="256">
        <v>2400.2669999999998</v>
      </c>
      <c r="I364" s="246" t="s">
        <v>1385</v>
      </c>
      <c r="J364" s="246" t="s">
        <v>317</v>
      </c>
      <c r="K364" s="246" t="s">
        <v>1349</v>
      </c>
      <c r="L364" s="243"/>
      <c r="M364" s="197">
        <f>14.9*2+9.25*2+9.2-2.1*2</f>
        <v>53.3</v>
      </c>
      <c r="N364" s="197">
        <f t="shared" si="42"/>
        <v>37.799999999999997</v>
      </c>
      <c r="O364" s="197">
        <v>9.1999999999999993</v>
      </c>
      <c r="P364" s="197">
        <v>6.3</v>
      </c>
      <c r="T364" s="197">
        <f t="shared" si="43"/>
        <v>17.110499999999995</v>
      </c>
      <c r="U364" s="197">
        <f t="shared" si="44"/>
        <v>5.04</v>
      </c>
      <c r="AP364" s="197">
        <f t="shared" si="45"/>
        <v>83.815499999999986</v>
      </c>
      <c r="AQ364" s="197">
        <f t="shared" si="46"/>
        <v>17.04</v>
      </c>
      <c r="AY364" s="197">
        <f>P364*2.67-V364</f>
        <v>16.820999999999998</v>
      </c>
    </row>
    <row r="365" spans="1:52" ht="30" x14ac:dyDescent="0.2">
      <c r="A365" s="239">
        <v>414</v>
      </c>
      <c r="B365" s="197" t="s">
        <v>119</v>
      </c>
      <c r="C365" s="197" t="s">
        <v>112</v>
      </c>
      <c r="D365" s="246" t="s">
        <v>1395</v>
      </c>
      <c r="E365" s="243" t="s">
        <v>1373</v>
      </c>
      <c r="F365" s="255">
        <v>41.7</v>
      </c>
      <c r="G365" s="251">
        <f t="shared" si="41"/>
        <v>2.4002669999999999</v>
      </c>
      <c r="H365" s="256">
        <v>2400.2669999999998</v>
      </c>
      <c r="I365" s="246" t="s">
        <v>1385</v>
      </c>
      <c r="J365" s="246" t="s">
        <v>317</v>
      </c>
      <c r="K365" s="246" t="s">
        <v>1349</v>
      </c>
      <c r="L365" s="243"/>
      <c r="M365" s="197">
        <f>14.9*2+9.25*2+9.2-2.1*2</f>
        <v>53.3</v>
      </c>
      <c r="N365" s="197">
        <f t="shared" si="42"/>
        <v>37.799999999999997</v>
      </c>
      <c r="O365" s="197">
        <v>9.1999999999999993</v>
      </c>
      <c r="P365" s="197">
        <v>6.3</v>
      </c>
      <c r="T365" s="197">
        <f t="shared" si="43"/>
        <v>17.110499999999995</v>
      </c>
      <c r="U365" s="197">
        <f t="shared" si="44"/>
        <v>5.04</v>
      </c>
      <c r="AP365" s="197">
        <f t="shared" si="45"/>
        <v>83.815499999999986</v>
      </c>
      <c r="AQ365" s="197">
        <f t="shared" si="46"/>
        <v>17.04</v>
      </c>
      <c r="AY365" s="197">
        <f>P365*2.67-V365</f>
        <v>16.820999999999998</v>
      </c>
    </row>
    <row r="366" spans="1:52" x14ac:dyDescent="0.2">
      <c r="A366" s="239">
        <v>420</v>
      </c>
      <c r="B366" s="197" t="s">
        <v>119</v>
      </c>
      <c r="C366" s="197" t="s">
        <v>113</v>
      </c>
      <c r="D366" s="246"/>
      <c r="E366" s="243" t="s">
        <v>1273</v>
      </c>
      <c r="F366" s="270"/>
      <c r="G366" s="270"/>
      <c r="H366" s="242"/>
      <c r="I366" s="242"/>
      <c r="J366" s="242"/>
      <c r="K366" s="242"/>
      <c r="L366" s="245"/>
    </row>
    <row r="367" spans="1:52" x14ac:dyDescent="0.2">
      <c r="A367" s="197">
        <v>421</v>
      </c>
      <c r="B367" s="197" t="s">
        <v>119</v>
      </c>
      <c r="C367" s="197" t="s">
        <v>113</v>
      </c>
      <c r="D367" s="246"/>
      <c r="E367" s="243" t="s">
        <v>1270</v>
      </c>
      <c r="F367" s="270"/>
      <c r="G367" s="270"/>
      <c r="H367" s="242"/>
      <c r="I367" s="242"/>
      <c r="J367" s="242"/>
      <c r="K367" s="242"/>
      <c r="L367" s="245"/>
    </row>
    <row r="368" spans="1:52" x14ac:dyDescent="0.2">
      <c r="A368" s="239">
        <v>422</v>
      </c>
      <c r="B368" s="197" t="s">
        <v>119</v>
      </c>
      <c r="C368" s="197" t="s">
        <v>113</v>
      </c>
      <c r="D368" s="246" t="s">
        <v>355</v>
      </c>
      <c r="E368" s="243" t="s">
        <v>673</v>
      </c>
      <c r="F368" s="273">
        <v>42.5</v>
      </c>
      <c r="G368" s="251">
        <f>H368/1000</f>
        <v>2.61</v>
      </c>
      <c r="H368" s="248">
        <v>2610</v>
      </c>
      <c r="I368" s="246" t="s">
        <v>1031</v>
      </c>
      <c r="J368" s="246" t="s">
        <v>85</v>
      </c>
      <c r="K368" s="246" t="s">
        <v>1032</v>
      </c>
      <c r="L368" s="243"/>
      <c r="M368" s="197">
        <f>31.5+10.2</f>
        <v>41.7</v>
      </c>
      <c r="N368" s="197">
        <f>M368-Q368-P368-O368</f>
        <v>32.825000000000003</v>
      </c>
      <c r="O368" s="197">
        <v>1.9</v>
      </c>
      <c r="P368" s="197">
        <f>0.815+0.15+1.31</f>
        <v>2.2749999999999999</v>
      </c>
      <c r="Q368" s="197">
        <f>4.4+0.15*2</f>
        <v>4.7</v>
      </c>
      <c r="T368" s="197">
        <f>4.65*2.55+4.1*2.55+2.55*2.655+1.1*2.1</f>
        <v>31.392749999999999</v>
      </c>
      <c r="AM368" s="197">
        <f>N368*G368-T368</f>
        <v>54.280500000000011</v>
      </c>
      <c r="AN368" s="197">
        <f>O368*G368-U368</f>
        <v>4.9589999999999996</v>
      </c>
      <c r="AO368" s="197">
        <f>P368*G368-V368</f>
        <v>5.9377499999999994</v>
      </c>
      <c r="AZ368" s="197">
        <f>Q368*G368-W368</f>
        <v>12.266999999999999</v>
      </c>
    </row>
    <row r="369" spans="1:52" x14ac:dyDescent="0.2">
      <c r="A369" s="239">
        <v>423</v>
      </c>
      <c r="B369" s="197" t="s">
        <v>119</v>
      </c>
      <c r="C369" s="197" t="s">
        <v>113</v>
      </c>
      <c r="D369" s="246" t="s">
        <v>657</v>
      </c>
      <c r="E369" s="243" t="s">
        <v>641</v>
      </c>
      <c r="F369" s="251">
        <v>6.15</v>
      </c>
      <c r="G369" s="251" t="e">
        <f>H369/1000</f>
        <v>#VALUE!</v>
      </c>
      <c r="H369" s="242" t="s">
        <v>9</v>
      </c>
      <c r="I369" s="242" t="s">
        <v>9</v>
      </c>
      <c r="J369" s="246" t="s">
        <v>8</v>
      </c>
      <c r="K369" s="242" t="s">
        <v>9</v>
      </c>
      <c r="L369" s="245"/>
    </row>
    <row r="370" spans="1:52" x14ac:dyDescent="0.2">
      <c r="A370" s="197">
        <v>424</v>
      </c>
      <c r="B370" s="197" t="s">
        <v>119</v>
      </c>
      <c r="C370" s="197" t="s">
        <v>113</v>
      </c>
      <c r="D370" s="246" t="s">
        <v>386</v>
      </c>
      <c r="E370" s="243" t="s">
        <v>644</v>
      </c>
      <c r="F370" s="251">
        <v>4.5</v>
      </c>
      <c r="G370" s="251" t="e">
        <f>H370/1000</f>
        <v>#VALUE!</v>
      </c>
      <c r="H370" s="242" t="s">
        <v>9</v>
      </c>
      <c r="I370" s="242" t="s">
        <v>9</v>
      </c>
      <c r="J370" s="246" t="s">
        <v>8</v>
      </c>
      <c r="K370" s="242" t="s">
        <v>9</v>
      </c>
      <c r="L370" s="245"/>
    </row>
    <row r="371" spans="1:52" x14ac:dyDescent="0.2">
      <c r="A371" s="239">
        <v>425</v>
      </c>
      <c r="B371" s="197" t="s">
        <v>119</v>
      </c>
      <c r="C371" s="197" t="s">
        <v>113</v>
      </c>
      <c r="D371" s="265" t="s">
        <v>325</v>
      </c>
      <c r="E371" s="243" t="s">
        <v>679</v>
      </c>
      <c r="F371" s="251">
        <v>50.2</v>
      </c>
      <c r="G371" s="251"/>
      <c r="H371" s="248">
        <v>2830</v>
      </c>
      <c r="I371" s="246" t="s">
        <v>656</v>
      </c>
      <c r="J371" s="242" t="s">
        <v>81</v>
      </c>
      <c r="K371" s="246" t="s">
        <v>836</v>
      </c>
      <c r="L371" s="243"/>
    </row>
    <row r="372" spans="1:52" x14ac:dyDescent="0.2">
      <c r="A372" s="239">
        <v>426</v>
      </c>
      <c r="B372" s="197" t="s">
        <v>119</v>
      </c>
      <c r="C372" s="197" t="s">
        <v>113</v>
      </c>
      <c r="D372" s="265" t="s">
        <v>322</v>
      </c>
      <c r="E372" s="243" t="s">
        <v>679</v>
      </c>
      <c r="F372" s="251">
        <v>35.5</v>
      </c>
      <c r="G372" s="251">
        <f t="shared" ref="G372:G385" si="47">H372/1000</f>
        <v>2.83</v>
      </c>
      <c r="H372" s="248">
        <v>2830</v>
      </c>
      <c r="I372" s="246" t="s">
        <v>656</v>
      </c>
      <c r="J372" s="246" t="s">
        <v>73</v>
      </c>
      <c r="K372" s="246" t="s">
        <v>836</v>
      </c>
      <c r="L372" s="243"/>
    </row>
    <row r="373" spans="1:52" x14ac:dyDescent="0.2">
      <c r="A373" s="197">
        <v>427</v>
      </c>
      <c r="B373" s="197" t="s">
        <v>119</v>
      </c>
      <c r="C373" s="197" t="s">
        <v>113</v>
      </c>
      <c r="D373" s="265" t="s">
        <v>319</v>
      </c>
      <c r="E373" s="243" t="s">
        <v>679</v>
      </c>
      <c r="F373" s="251">
        <v>18.5</v>
      </c>
      <c r="G373" s="251">
        <f t="shared" si="47"/>
        <v>2.83</v>
      </c>
      <c r="H373" s="248">
        <v>2830</v>
      </c>
      <c r="I373" s="246" t="s">
        <v>656</v>
      </c>
      <c r="J373" s="246" t="s">
        <v>95</v>
      </c>
      <c r="K373" s="246" t="s">
        <v>836</v>
      </c>
      <c r="L373" s="243"/>
    </row>
    <row r="374" spans="1:52" x14ac:dyDescent="0.2">
      <c r="A374" s="239">
        <v>428</v>
      </c>
      <c r="B374" s="197" t="s">
        <v>119</v>
      </c>
      <c r="C374" s="197" t="s">
        <v>113</v>
      </c>
      <c r="D374" s="246" t="s">
        <v>343</v>
      </c>
      <c r="E374" s="243" t="s">
        <v>679</v>
      </c>
      <c r="F374" s="251">
        <v>67.599999999999994</v>
      </c>
      <c r="G374" s="251">
        <f t="shared" si="47"/>
        <v>2.83</v>
      </c>
      <c r="H374" s="248">
        <v>2830</v>
      </c>
      <c r="I374" s="246" t="s">
        <v>656</v>
      </c>
      <c r="J374" s="246" t="s">
        <v>96</v>
      </c>
      <c r="K374" s="246" t="s">
        <v>836</v>
      </c>
      <c r="L374" s="243"/>
      <c r="M374" s="197">
        <v>62.4</v>
      </c>
      <c r="N374" s="197">
        <v>2.4</v>
      </c>
      <c r="O374" s="197">
        <f>(0.325*2+2.25)*3</f>
        <v>8.6999999999999993</v>
      </c>
      <c r="P374" s="197">
        <f>M374-N374-O374-Q374</f>
        <v>37.774999999999999</v>
      </c>
      <c r="Q374" s="197">
        <f>6.5+0.425+6.6</f>
        <v>13.524999999999999</v>
      </c>
      <c r="T374" s="197">
        <f>1.1*2.1</f>
        <v>2.3100000000000005</v>
      </c>
      <c r="V374" s="197">
        <f>2.4*2.55+2.45*2.85*2+2.555*2.55</f>
        <v>26.600250000000003</v>
      </c>
      <c r="AL374" s="197">
        <f>N374*G374-T374</f>
        <v>4.4819999999999993</v>
      </c>
      <c r="AN374" s="197">
        <f>O374*G374-U374</f>
        <v>24.620999999999999</v>
      </c>
      <c r="AO374" s="197">
        <f>P374*G374-V374</f>
        <v>80.302999999999997</v>
      </c>
      <c r="AZ374" s="197">
        <f>Q374*G374-W374</f>
        <v>38.275749999999995</v>
      </c>
    </row>
    <row r="375" spans="1:52" x14ac:dyDescent="0.2">
      <c r="A375" s="239">
        <v>429</v>
      </c>
      <c r="B375" s="197" t="s">
        <v>119</v>
      </c>
      <c r="C375" s="197" t="s">
        <v>113</v>
      </c>
      <c r="D375" s="246" t="s">
        <v>445</v>
      </c>
      <c r="E375" s="243" t="s">
        <v>802</v>
      </c>
      <c r="F375" s="251">
        <v>4.45</v>
      </c>
      <c r="G375" s="251">
        <f t="shared" si="47"/>
        <v>2.4</v>
      </c>
      <c r="H375" s="248">
        <v>2400</v>
      </c>
      <c r="I375" s="246" t="s">
        <v>654</v>
      </c>
      <c r="J375" s="246" t="s">
        <v>60</v>
      </c>
      <c r="K375" s="246" t="s">
        <v>756</v>
      </c>
      <c r="L375" s="243"/>
      <c r="M375" s="197">
        <f>9.8</f>
        <v>9.8000000000000007</v>
      </c>
      <c r="N375" s="197">
        <f>1.5</f>
        <v>1.5</v>
      </c>
      <c r="O375" s="197">
        <f>M375-P375-N375</f>
        <v>5.25</v>
      </c>
      <c r="P375" s="197">
        <f>0.6+2.45</f>
        <v>3.0500000000000003</v>
      </c>
      <c r="AH375" s="197">
        <f>N375*G375-T375</f>
        <v>3.5999999999999996</v>
      </c>
      <c r="AP375" s="197">
        <f>O375*G375-U375</f>
        <v>12.6</v>
      </c>
      <c r="AR375" s="197">
        <f>P375*G375-V375</f>
        <v>7.32</v>
      </c>
    </row>
    <row r="376" spans="1:52" ht="30" x14ac:dyDescent="0.2">
      <c r="A376" s="197">
        <v>430</v>
      </c>
      <c r="B376" s="197" t="s">
        <v>119</v>
      </c>
      <c r="C376" s="197" t="s">
        <v>113</v>
      </c>
      <c r="D376" s="246" t="s">
        <v>423</v>
      </c>
      <c r="E376" s="243" t="s">
        <v>804</v>
      </c>
      <c r="F376" s="251">
        <v>4.45</v>
      </c>
      <c r="G376" s="251">
        <f t="shared" si="47"/>
        <v>2.4</v>
      </c>
      <c r="H376" s="248">
        <v>2400</v>
      </c>
      <c r="I376" s="246" t="s">
        <v>654</v>
      </c>
      <c r="J376" s="246" t="s">
        <v>97</v>
      </c>
      <c r="K376" s="246" t="s">
        <v>756</v>
      </c>
      <c r="L376" s="243"/>
      <c r="M376" s="197">
        <v>9.4499999999999993</v>
      </c>
      <c r="N376" s="197">
        <f>0.6+0.2</f>
        <v>0.8</v>
      </c>
      <c r="O376" s="197">
        <f>1.15</f>
        <v>1.1499999999999999</v>
      </c>
      <c r="P376" s="197">
        <f>M376-O376-N376</f>
        <v>7.4999999999999991</v>
      </c>
      <c r="V376" s="197">
        <f>0.85*2.4</f>
        <v>2.04</v>
      </c>
      <c r="AL376" s="197">
        <f>N376*G376-T376</f>
        <v>1.92</v>
      </c>
      <c r="AP376" s="197">
        <f>O376*G376-U376</f>
        <v>2.76</v>
      </c>
      <c r="AR376" s="197">
        <f>P376*G376-V376</f>
        <v>15.959999999999997</v>
      </c>
    </row>
    <row r="377" spans="1:52" ht="30" x14ac:dyDescent="0.2">
      <c r="A377" s="239">
        <v>431</v>
      </c>
      <c r="B377" s="197" t="s">
        <v>119</v>
      </c>
      <c r="C377" s="197" t="s">
        <v>113</v>
      </c>
      <c r="D377" s="246" t="s">
        <v>377</v>
      </c>
      <c r="E377" s="243" t="s">
        <v>806</v>
      </c>
      <c r="F377" s="251">
        <v>8.15</v>
      </c>
      <c r="G377" s="251">
        <f t="shared" si="47"/>
        <v>2.4</v>
      </c>
      <c r="H377" s="248">
        <v>2400</v>
      </c>
      <c r="I377" s="246" t="s">
        <v>654</v>
      </c>
      <c r="J377" s="246" t="s">
        <v>34</v>
      </c>
      <c r="K377" s="246" t="s">
        <v>756</v>
      </c>
      <c r="L377" s="243"/>
      <c r="M377" s="197">
        <v>14.8</v>
      </c>
      <c r="N377" s="197">
        <f>M377</f>
        <v>14.8</v>
      </c>
      <c r="AP377" s="197">
        <f>N377*G377-T377</f>
        <v>35.520000000000003</v>
      </c>
    </row>
    <row r="378" spans="1:52" ht="30" x14ac:dyDescent="0.2">
      <c r="A378" s="239">
        <v>432</v>
      </c>
      <c r="B378" s="197" t="s">
        <v>119</v>
      </c>
      <c r="C378" s="197" t="s">
        <v>113</v>
      </c>
      <c r="D378" s="246" t="s">
        <v>455</v>
      </c>
      <c r="E378" s="243" t="s">
        <v>841</v>
      </c>
      <c r="F378" s="251">
        <v>8.15</v>
      </c>
      <c r="G378" s="251">
        <f t="shared" si="47"/>
        <v>2.4</v>
      </c>
      <c r="H378" s="248">
        <v>2400</v>
      </c>
      <c r="I378" s="246" t="s">
        <v>656</v>
      </c>
      <c r="J378" s="246" t="s">
        <v>89</v>
      </c>
      <c r="K378" s="246" t="s">
        <v>756</v>
      </c>
      <c r="L378" s="243"/>
      <c r="M378" s="197">
        <v>12.05</v>
      </c>
      <c r="N378" s="197">
        <f>0.2+0.8</f>
        <v>1</v>
      </c>
      <c r="O378" s="197">
        <f>M378-P378-N378</f>
        <v>7.3000000000000007</v>
      </c>
      <c r="P378" s="197">
        <f>0.6*2+2.55</f>
        <v>3.75</v>
      </c>
      <c r="U378" s="197">
        <f>1.8*2.4</f>
        <v>4.32</v>
      </c>
      <c r="AM378" s="197">
        <f>N378*G378-T378</f>
        <v>2.4</v>
      </c>
      <c r="AP378" s="197">
        <f>O378*G378-U378</f>
        <v>13.2</v>
      </c>
      <c r="AR378" s="197">
        <f>P378*G378-V378</f>
        <v>9</v>
      </c>
    </row>
    <row r="379" spans="1:52" x14ac:dyDescent="0.2">
      <c r="A379" s="197">
        <v>433</v>
      </c>
      <c r="B379" s="197" t="s">
        <v>119</v>
      </c>
      <c r="C379" s="197" t="s">
        <v>113</v>
      </c>
      <c r="D379" s="265" t="s">
        <v>393</v>
      </c>
      <c r="E379" s="243" t="s">
        <v>887</v>
      </c>
      <c r="F379" s="251">
        <v>8.8000000000000007</v>
      </c>
      <c r="G379" s="251">
        <f t="shared" si="47"/>
        <v>2.4</v>
      </c>
      <c r="H379" s="248">
        <v>2400</v>
      </c>
      <c r="I379" s="246" t="s">
        <v>656</v>
      </c>
      <c r="J379" s="246" t="s">
        <v>36</v>
      </c>
      <c r="K379" s="246" t="s">
        <v>759</v>
      </c>
      <c r="L379" s="243"/>
      <c r="AM379" s="197">
        <f>N379*G379-T379</f>
        <v>0</v>
      </c>
      <c r="AP379" s="197">
        <f>O379*G379-U379</f>
        <v>0</v>
      </c>
    </row>
    <row r="380" spans="1:52" x14ac:dyDescent="0.2">
      <c r="A380" s="239">
        <v>434</v>
      </c>
      <c r="B380" s="197" t="s">
        <v>119</v>
      </c>
      <c r="C380" s="197" t="s">
        <v>113</v>
      </c>
      <c r="D380" s="265" t="s">
        <v>414</v>
      </c>
      <c r="E380" s="243" t="s">
        <v>845</v>
      </c>
      <c r="F380" s="251">
        <v>19.149999999999999</v>
      </c>
      <c r="G380" s="251">
        <f t="shared" si="47"/>
        <v>2.4</v>
      </c>
      <c r="H380" s="248">
        <v>2400</v>
      </c>
      <c r="I380" s="246" t="s">
        <v>656</v>
      </c>
      <c r="J380" s="246" t="s">
        <v>90</v>
      </c>
      <c r="K380" s="246" t="s">
        <v>756</v>
      </c>
      <c r="L380" s="243"/>
      <c r="AM380" s="197">
        <f>N380*G380-T380</f>
        <v>0</v>
      </c>
      <c r="AP380" s="197">
        <f>O380*G380-U380</f>
        <v>0</v>
      </c>
    </row>
    <row r="381" spans="1:52" ht="60" x14ac:dyDescent="0.2">
      <c r="A381" s="239">
        <v>435</v>
      </c>
      <c r="B381" s="197" t="s">
        <v>119</v>
      </c>
      <c r="C381" s="197" t="s">
        <v>113</v>
      </c>
      <c r="D381" s="265" t="s">
        <v>477</v>
      </c>
      <c r="E381" s="243" t="s">
        <v>847</v>
      </c>
      <c r="F381" s="251">
        <v>74</v>
      </c>
      <c r="G381" s="251">
        <f t="shared" si="47"/>
        <v>2.83</v>
      </c>
      <c r="H381" s="248">
        <v>2830</v>
      </c>
      <c r="I381" s="246" t="s">
        <v>656</v>
      </c>
      <c r="J381" s="246" t="s">
        <v>316</v>
      </c>
      <c r="K381" s="246" t="s">
        <v>836</v>
      </c>
      <c r="L381" s="243"/>
      <c r="M381" s="197">
        <f>99.7+1.26*5-9.45-6.5</f>
        <v>90.05</v>
      </c>
      <c r="N381" s="197">
        <f>1.6+1.26*5+0.2+0.6</f>
        <v>8.6999999999999993</v>
      </c>
      <c r="O381" s="197">
        <f>(0.325*2+2.25)*6</f>
        <v>17.399999999999999</v>
      </c>
      <c r="P381" s="197">
        <f>M381-R381-O381-N381-Q381</f>
        <v>53.739999999999981</v>
      </c>
      <c r="Q381" s="197">
        <f>3.2</f>
        <v>3.2</v>
      </c>
      <c r="R381" s="197">
        <f>0.45+6.56</f>
        <v>7.01</v>
      </c>
      <c r="V381" s="197">
        <f>2.45*2.85+2.45*2.85</f>
        <v>13.965000000000002</v>
      </c>
      <c r="AM381" s="197">
        <f>N381*G381-T381</f>
        <v>24.620999999999999</v>
      </c>
      <c r="AN381" s="197">
        <f>O381*G381-U381</f>
        <v>49.241999999999997</v>
      </c>
      <c r="AP381" s="197">
        <f>P381*G381-V381</f>
        <v>138.11919999999995</v>
      </c>
      <c r="AQ381" s="197">
        <f>Q381*G381-W381</f>
        <v>9.0560000000000009</v>
      </c>
      <c r="AZ381" s="197">
        <f>R381*G381-X381</f>
        <v>19.8383</v>
      </c>
    </row>
    <row r="382" spans="1:52" ht="30" x14ac:dyDescent="0.2">
      <c r="A382" s="197">
        <v>436</v>
      </c>
      <c r="B382" s="197" t="s">
        <v>119</v>
      </c>
      <c r="C382" s="197" t="s">
        <v>113</v>
      </c>
      <c r="D382" s="246" t="s">
        <v>403</v>
      </c>
      <c r="E382" s="243" t="s">
        <v>891</v>
      </c>
      <c r="F382" s="251">
        <v>3.7</v>
      </c>
      <c r="G382" s="251">
        <f t="shared" si="47"/>
        <v>2.4</v>
      </c>
      <c r="H382" s="248">
        <v>2400</v>
      </c>
      <c r="I382" s="246" t="s">
        <v>656</v>
      </c>
      <c r="J382" s="246" t="s">
        <v>34</v>
      </c>
      <c r="K382" s="246" t="s">
        <v>756</v>
      </c>
      <c r="L382" s="243"/>
      <c r="M382" s="197">
        <v>7.5</v>
      </c>
      <c r="N382" s="197">
        <f>M382</f>
        <v>7.5</v>
      </c>
      <c r="T382" s="197">
        <f>1.7*2.4</f>
        <v>4.08</v>
      </c>
      <c r="AP382" s="197">
        <f>N382*G382-T382</f>
        <v>13.92</v>
      </c>
    </row>
    <row r="383" spans="1:52" x14ac:dyDescent="0.2">
      <c r="A383" s="239">
        <v>437</v>
      </c>
      <c r="B383" s="197" t="s">
        <v>119</v>
      </c>
      <c r="C383" s="197" t="s">
        <v>113</v>
      </c>
      <c r="D383" s="246" t="s">
        <v>467</v>
      </c>
      <c r="E383" s="243" t="s">
        <v>893</v>
      </c>
      <c r="F383" s="251">
        <v>18.45</v>
      </c>
      <c r="G383" s="251">
        <f t="shared" si="47"/>
        <v>2.67</v>
      </c>
      <c r="H383" s="248">
        <v>2670</v>
      </c>
      <c r="I383" s="246" t="s">
        <v>656</v>
      </c>
      <c r="J383" s="246" t="s">
        <v>106</v>
      </c>
      <c r="K383" s="246" t="s">
        <v>759</v>
      </c>
      <c r="L383" s="243"/>
      <c r="M383" s="197">
        <v>20.149999999999999</v>
      </c>
      <c r="N383" s="197">
        <f>2.05+0.6+3.78</f>
        <v>6.43</v>
      </c>
      <c r="O383" s="197">
        <f>M383-Q383-N383-P383</f>
        <v>6.9700000000000006</v>
      </c>
      <c r="P383" s="197">
        <f>2+0.6</f>
        <v>2.6</v>
      </c>
      <c r="Q383" s="197">
        <f>2.5-0.6+0.3+1.95</f>
        <v>4.1499999999999995</v>
      </c>
      <c r="U383" s="197">
        <f>3.74*2.55</f>
        <v>9.536999999999999</v>
      </c>
      <c r="AG383" s="197">
        <f>N383*G383-T383</f>
        <v>17.168099999999999</v>
      </c>
      <c r="AP383" s="197">
        <f>O383*G383-U383</f>
        <v>9.0729000000000006</v>
      </c>
      <c r="AQ383" s="197">
        <f>P383*G383-V383</f>
        <v>6.9420000000000002</v>
      </c>
      <c r="AT383" s="197">
        <f>Q383*G383-W383</f>
        <v>11.080499999999999</v>
      </c>
    </row>
    <row r="384" spans="1:52" x14ac:dyDescent="0.2">
      <c r="A384" s="239">
        <v>438</v>
      </c>
      <c r="B384" s="197" t="s">
        <v>119</v>
      </c>
      <c r="C384" s="197" t="s">
        <v>113</v>
      </c>
      <c r="D384" s="246" t="s">
        <v>472</v>
      </c>
      <c r="E384" s="243" t="s">
        <v>771</v>
      </c>
      <c r="F384" s="251">
        <v>5.65</v>
      </c>
      <c r="G384" s="251">
        <f t="shared" si="47"/>
        <v>2.4</v>
      </c>
      <c r="H384" s="248">
        <v>2400</v>
      </c>
      <c r="I384" s="246" t="s">
        <v>766</v>
      </c>
      <c r="J384" s="246" t="s">
        <v>101</v>
      </c>
      <c r="K384" s="246" t="s">
        <v>756</v>
      </c>
      <c r="L384" s="243"/>
      <c r="M384" s="197">
        <f>2.5+2.2*2</f>
        <v>6.9</v>
      </c>
      <c r="N384" s="197">
        <f>2.5+0.65</f>
        <v>3.15</v>
      </c>
      <c r="O384" s="197">
        <f>M384-N384</f>
        <v>3.7500000000000004</v>
      </c>
      <c r="U384" s="197">
        <f>1.4*2.4</f>
        <v>3.36</v>
      </c>
      <c r="AQ384" s="197">
        <f>N384*G384-T384</f>
        <v>7.56</v>
      </c>
      <c r="AT384" s="197">
        <f>O384*G384-U384</f>
        <v>5.6400000000000006</v>
      </c>
    </row>
    <row r="385" spans="1:51" x14ac:dyDescent="0.2">
      <c r="A385" s="197">
        <v>439</v>
      </c>
      <c r="B385" s="197" t="s">
        <v>119</v>
      </c>
      <c r="C385" s="197" t="s">
        <v>113</v>
      </c>
      <c r="D385" s="246" t="s">
        <v>786</v>
      </c>
      <c r="E385" s="243" t="s">
        <v>787</v>
      </c>
      <c r="F385" s="251">
        <v>8.65</v>
      </c>
      <c r="G385" s="251">
        <f t="shared" si="47"/>
        <v>2.67</v>
      </c>
      <c r="H385" s="248">
        <v>2670</v>
      </c>
      <c r="I385" s="246" t="s">
        <v>766</v>
      </c>
      <c r="J385" s="246" t="s">
        <v>101</v>
      </c>
      <c r="K385" s="246" t="s">
        <v>767</v>
      </c>
      <c r="L385" s="243"/>
      <c r="M385" s="197">
        <f>3.935*2+2.23</f>
        <v>10.1</v>
      </c>
      <c r="N385" s="197">
        <f>3.935</f>
        <v>3.9350000000000001</v>
      </c>
      <c r="O385" s="197">
        <f>M385-N385</f>
        <v>6.1649999999999991</v>
      </c>
      <c r="U385" s="197">
        <f>2.2*2.52</f>
        <v>5.5440000000000005</v>
      </c>
      <c r="AQ385" s="197">
        <f>N385*G385-T385</f>
        <v>10.506449999999999</v>
      </c>
      <c r="AT385" s="197">
        <f>O385*G385-U385</f>
        <v>10.916549999999997</v>
      </c>
    </row>
    <row r="386" spans="1:51" x14ac:dyDescent="0.2">
      <c r="A386" s="239">
        <v>440</v>
      </c>
      <c r="B386" s="197" t="s">
        <v>119</v>
      </c>
      <c r="C386" s="197" t="s">
        <v>113</v>
      </c>
      <c r="D386" s="246" t="s">
        <v>436</v>
      </c>
      <c r="E386" s="243" t="s">
        <v>1254</v>
      </c>
      <c r="F386" s="251">
        <v>22.45</v>
      </c>
      <c r="G386" s="251"/>
      <c r="H386" s="248">
        <v>2910</v>
      </c>
      <c r="I386" s="246" t="s">
        <v>1255</v>
      </c>
      <c r="J386" s="246" t="s">
        <v>92</v>
      </c>
      <c r="K386" s="246" t="s">
        <v>677</v>
      </c>
      <c r="L386" s="243"/>
    </row>
    <row r="387" spans="1:51" ht="45" x14ac:dyDescent="0.2">
      <c r="A387" s="239">
        <v>441</v>
      </c>
      <c r="B387" s="197" t="s">
        <v>119</v>
      </c>
      <c r="C387" s="197" t="s">
        <v>113</v>
      </c>
      <c r="D387" s="246" t="s">
        <v>461</v>
      </c>
      <c r="E387" s="243" t="s">
        <v>1242</v>
      </c>
      <c r="F387" s="251">
        <v>27.8</v>
      </c>
      <c r="G387" s="251"/>
      <c r="H387" s="248">
        <v>2910</v>
      </c>
      <c r="I387" s="246" t="s">
        <v>1243</v>
      </c>
      <c r="J387" s="246" t="s">
        <v>92</v>
      </c>
      <c r="K387" s="246" t="s">
        <v>677</v>
      </c>
      <c r="L387" s="243" t="s">
        <v>107</v>
      </c>
    </row>
    <row r="388" spans="1:51" x14ac:dyDescent="0.2">
      <c r="A388" s="197">
        <v>442</v>
      </c>
      <c r="B388" s="197" t="s">
        <v>119</v>
      </c>
      <c r="C388" s="197" t="s">
        <v>113</v>
      </c>
      <c r="D388" s="246" t="s">
        <v>427</v>
      </c>
      <c r="E388" s="243" t="s">
        <v>754</v>
      </c>
      <c r="F388" s="251">
        <v>18.149999999999999</v>
      </c>
      <c r="G388" s="251">
        <f>H388/1000</f>
        <v>2.67</v>
      </c>
      <c r="H388" s="248">
        <v>2670</v>
      </c>
      <c r="I388" s="246" t="s">
        <v>755</v>
      </c>
      <c r="J388" s="246" t="s">
        <v>108</v>
      </c>
      <c r="K388" s="246" t="s">
        <v>756</v>
      </c>
      <c r="L388" s="243"/>
      <c r="M388" s="197">
        <f>3.3+6.35+2.2+2.15</f>
        <v>13.999999999999998</v>
      </c>
      <c r="N388" s="197">
        <f>M388-O388</f>
        <v>7.5999999999999979</v>
      </c>
      <c r="O388" s="197">
        <f>6.4</f>
        <v>6.4</v>
      </c>
      <c r="T388" s="197">
        <f>3.26*2.55</f>
        <v>8.3129999999999988</v>
      </c>
      <c r="AP388" s="197">
        <f>N388*G388-T388</f>
        <v>11.978999999999996</v>
      </c>
      <c r="AY388" s="197">
        <f>O388*G388-U388</f>
        <v>17.088000000000001</v>
      </c>
    </row>
    <row r="389" spans="1:51" x14ac:dyDescent="0.2">
      <c r="A389" s="239">
        <v>443</v>
      </c>
      <c r="B389" s="197" t="s">
        <v>119</v>
      </c>
      <c r="C389" s="197" t="s">
        <v>113</v>
      </c>
      <c r="D389" s="246" t="s">
        <v>400</v>
      </c>
      <c r="E389" s="243" t="s">
        <v>758</v>
      </c>
      <c r="F389" s="251">
        <v>18.149999999999999</v>
      </c>
      <c r="G389" s="251">
        <f>H389/1000</f>
        <v>2.67</v>
      </c>
      <c r="H389" s="248">
        <v>2670</v>
      </c>
      <c r="I389" s="246" t="s">
        <v>755</v>
      </c>
      <c r="J389" s="246" t="s">
        <v>34</v>
      </c>
      <c r="K389" s="246" t="s">
        <v>759</v>
      </c>
      <c r="L389" s="243"/>
      <c r="M389" s="197">
        <f>3.3+6.35+2.2+2.15</f>
        <v>13.999999999999998</v>
      </c>
      <c r="N389" s="197">
        <f>M389</f>
        <v>13.999999999999998</v>
      </c>
      <c r="T389" s="197">
        <f>3.26*2.55</f>
        <v>8.3129999999999988</v>
      </c>
      <c r="AP389" s="197">
        <f>N389*G389-T389</f>
        <v>29.066999999999997</v>
      </c>
    </row>
    <row r="390" spans="1:51" x14ac:dyDescent="0.2">
      <c r="A390" s="239">
        <v>444</v>
      </c>
      <c r="B390" s="197" t="s">
        <v>119</v>
      </c>
      <c r="C390" s="197" t="s">
        <v>113</v>
      </c>
      <c r="D390" s="246" t="s">
        <v>430</v>
      </c>
      <c r="E390" s="243" t="s">
        <v>789</v>
      </c>
      <c r="F390" s="251">
        <v>5.3</v>
      </c>
      <c r="G390" s="251">
        <f>H390/1000</f>
        <v>2.4</v>
      </c>
      <c r="H390" s="248">
        <v>2400</v>
      </c>
      <c r="I390" s="246" t="s">
        <v>766</v>
      </c>
      <c r="J390" s="246" t="s">
        <v>45</v>
      </c>
      <c r="K390" s="246" t="s">
        <v>738</v>
      </c>
      <c r="L390" s="243"/>
      <c r="M390" s="197">
        <f>1.2*2+2+0.66</f>
        <v>5.0600000000000005</v>
      </c>
      <c r="N390" s="197">
        <f>M390</f>
        <v>5.0600000000000005</v>
      </c>
      <c r="AQ390" s="197">
        <f>N390*G390-T390</f>
        <v>12.144</v>
      </c>
    </row>
    <row r="391" spans="1:51" x14ac:dyDescent="0.2">
      <c r="A391" s="197">
        <v>445</v>
      </c>
      <c r="B391" s="197" t="s">
        <v>119</v>
      </c>
      <c r="C391" s="197" t="s">
        <v>113</v>
      </c>
      <c r="D391" s="246"/>
      <c r="E391" s="243" t="s">
        <v>1286</v>
      </c>
      <c r="F391" s="270"/>
      <c r="G391" s="270"/>
      <c r="H391" s="242"/>
      <c r="I391" s="242"/>
      <c r="J391" s="242"/>
      <c r="K391" s="242"/>
      <c r="L391" s="245"/>
    </row>
    <row r="392" spans="1:51" ht="30" x14ac:dyDescent="0.2">
      <c r="A392" s="239">
        <v>446</v>
      </c>
      <c r="B392" s="197" t="s">
        <v>119</v>
      </c>
      <c r="C392" s="197" t="s">
        <v>113</v>
      </c>
      <c r="D392" s="246" t="s">
        <v>1396</v>
      </c>
      <c r="E392" s="243" t="s">
        <v>1344</v>
      </c>
      <c r="F392" s="273">
        <v>41.7</v>
      </c>
      <c r="G392" s="251">
        <f t="shared" ref="G392:G399" si="48">H392/1000</f>
        <v>2.4002669999999999</v>
      </c>
      <c r="H392" s="248">
        <v>2400.2669999999998</v>
      </c>
      <c r="I392" s="246" t="s">
        <v>1397</v>
      </c>
      <c r="J392" s="246" t="s">
        <v>46</v>
      </c>
      <c r="K392" s="246" t="s">
        <v>1398</v>
      </c>
      <c r="L392" s="243"/>
      <c r="M392" s="197">
        <f>14.9*2+9.15*2+9.2-2.1*2</f>
        <v>53.099999999999994</v>
      </c>
      <c r="N392" s="197">
        <f t="shared" ref="N392:N399" si="49">M392-O392-P392</f>
        <v>43.899999999999991</v>
      </c>
      <c r="O392" s="197">
        <v>9.1999999999999993</v>
      </c>
      <c r="T392" s="197">
        <f t="shared" ref="T392:T399" si="50">(3.26+0.19+3.26)*2.55</f>
        <v>17.110499999999995</v>
      </c>
      <c r="U392" s="197">
        <f t="shared" ref="U392:U399" si="51">1.05*2.4*2</f>
        <v>5.04</v>
      </c>
      <c r="AP392" s="197">
        <f t="shared" ref="AP392:AP399" si="52">N392*2.67-T392</f>
        <v>100.10249999999999</v>
      </c>
      <c r="AQ392" s="197">
        <f t="shared" ref="AQ392:AQ399" si="53">O392*2.4-U392</f>
        <v>17.04</v>
      </c>
    </row>
    <row r="393" spans="1:51" ht="30" x14ac:dyDescent="0.2">
      <c r="A393" s="239">
        <v>447</v>
      </c>
      <c r="B393" s="197" t="s">
        <v>119</v>
      </c>
      <c r="C393" s="197" t="s">
        <v>113</v>
      </c>
      <c r="D393" s="246" t="s">
        <v>1399</v>
      </c>
      <c r="E393" s="243" t="s">
        <v>1344</v>
      </c>
      <c r="F393" s="251">
        <v>41.7</v>
      </c>
      <c r="G393" s="251" t="e">
        <f t="shared" si="48"/>
        <v>#VALUE!</v>
      </c>
      <c r="H393" s="246" t="s">
        <v>1400</v>
      </c>
      <c r="I393" s="246" t="s">
        <v>1397</v>
      </c>
      <c r="J393" s="246" t="s">
        <v>317</v>
      </c>
      <c r="K393" s="246" t="s">
        <v>1349</v>
      </c>
      <c r="L393" s="243"/>
      <c r="M393" s="197">
        <f>14.9*2+9.25*2+9.2-2.1*2</f>
        <v>53.3</v>
      </c>
      <c r="N393" s="197">
        <f t="shared" si="49"/>
        <v>37.799999999999997</v>
      </c>
      <c r="O393" s="197">
        <v>9.1999999999999993</v>
      </c>
      <c r="P393" s="197">
        <v>6.3</v>
      </c>
      <c r="T393" s="197">
        <f t="shared" si="50"/>
        <v>17.110499999999995</v>
      </c>
      <c r="U393" s="197">
        <f t="shared" si="51"/>
        <v>5.04</v>
      </c>
      <c r="AP393" s="197">
        <f t="shared" si="52"/>
        <v>83.815499999999986</v>
      </c>
      <c r="AQ393" s="197">
        <f t="shared" si="53"/>
        <v>17.04</v>
      </c>
      <c r="AY393" s="197">
        <f>P393*2.67-V393</f>
        <v>16.820999999999998</v>
      </c>
    </row>
    <row r="394" spans="1:51" ht="30" x14ac:dyDescent="0.2">
      <c r="A394" s="197">
        <v>448</v>
      </c>
      <c r="B394" s="197" t="s">
        <v>119</v>
      </c>
      <c r="C394" s="197" t="s">
        <v>113</v>
      </c>
      <c r="D394" s="246" t="s">
        <v>1401</v>
      </c>
      <c r="E394" s="243" t="s">
        <v>1344</v>
      </c>
      <c r="F394" s="273">
        <v>41.7</v>
      </c>
      <c r="G394" s="251">
        <f t="shared" si="48"/>
        <v>2.4002669999999999</v>
      </c>
      <c r="H394" s="248">
        <v>2400.2669999999998</v>
      </c>
      <c r="I394" s="246" t="s">
        <v>1397</v>
      </c>
      <c r="J394" s="246" t="s">
        <v>46</v>
      </c>
      <c r="K394" s="246" t="s">
        <v>1402</v>
      </c>
      <c r="L394" s="243"/>
      <c r="M394" s="197">
        <f>14.9*2+9.15*2+9.2-2.1*2</f>
        <v>53.099999999999994</v>
      </c>
      <c r="N394" s="197">
        <f t="shared" si="49"/>
        <v>43.899999999999991</v>
      </c>
      <c r="O394" s="197">
        <v>9.1999999999999993</v>
      </c>
      <c r="T394" s="197">
        <f t="shared" si="50"/>
        <v>17.110499999999995</v>
      </c>
      <c r="U394" s="197">
        <f t="shared" si="51"/>
        <v>5.04</v>
      </c>
      <c r="AP394" s="197">
        <f t="shared" si="52"/>
        <v>100.10249999999999</v>
      </c>
      <c r="AQ394" s="197">
        <f t="shared" si="53"/>
        <v>17.04</v>
      </c>
    </row>
    <row r="395" spans="1:51" ht="30" x14ac:dyDescent="0.2">
      <c r="A395" s="239">
        <v>449</v>
      </c>
      <c r="B395" s="197" t="s">
        <v>119</v>
      </c>
      <c r="C395" s="197" t="s">
        <v>113</v>
      </c>
      <c r="D395" s="246" t="s">
        <v>1403</v>
      </c>
      <c r="E395" s="243" t="s">
        <v>1344</v>
      </c>
      <c r="F395" s="251">
        <v>41.7</v>
      </c>
      <c r="G395" s="251">
        <f t="shared" si="48"/>
        <v>2.4002669999999999</v>
      </c>
      <c r="H395" s="248">
        <v>2400.2669999999998</v>
      </c>
      <c r="I395" s="246" t="s">
        <v>1397</v>
      </c>
      <c r="J395" s="246" t="s">
        <v>46</v>
      </c>
      <c r="K395" s="246" t="s">
        <v>1404</v>
      </c>
      <c r="L395" s="243"/>
      <c r="M395" s="197">
        <f>14.9*2+9.15*2+9.2-2.1*2</f>
        <v>53.099999999999994</v>
      </c>
      <c r="N395" s="197">
        <f t="shared" si="49"/>
        <v>43.899999999999991</v>
      </c>
      <c r="O395" s="197">
        <v>9.1999999999999993</v>
      </c>
      <c r="T395" s="197">
        <f t="shared" si="50"/>
        <v>17.110499999999995</v>
      </c>
      <c r="U395" s="197">
        <f t="shared" si="51"/>
        <v>5.04</v>
      </c>
      <c r="AP395" s="197">
        <f t="shared" si="52"/>
        <v>100.10249999999999</v>
      </c>
      <c r="AQ395" s="197">
        <f t="shared" si="53"/>
        <v>17.04</v>
      </c>
    </row>
    <row r="396" spans="1:51" ht="30" x14ac:dyDescent="0.2">
      <c r="A396" s="239">
        <v>450</v>
      </c>
      <c r="B396" s="197" t="s">
        <v>119</v>
      </c>
      <c r="C396" s="197" t="s">
        <v>113</v>
      </c>
      <c r="D396" s="246" t="s">
        <v>1405</v>
      </c>
      <c r="E396" s="243" t="s">
        <v>1344</v>
      </c>
      <c r="F396" s="251">
        <v>41.7</v>
      </c>
      <c r="G396" s="251">
        <f t="shared" si="48"/>
        <v>2.4002669999999999</v>
      </c>
      <c r="H396" s="248">
        <v>2400.2669999999998</v>
      </c>
      <c r="I396" s="246" t="s">
        <v>1397</v>
      </c>
      <c r="J396" s="246" t="s">
        <v>46</v>
      </c>
      <c r="K396" s="246" t="s">
        <v>1402</v>
      </c>
      <c r="L396" s="243"/>
      <c r="M396" s="197">
        <f>14.9*2+9.15*2+9.2-2.1*2</f>
        <v>53.099999999999994</v>
      </c>
      <c r="N396" s="197">
        <f t="shared" si="49"/>
        <v>43.899999999999991</v>
      </c>
      <c r="O396" s="197">
        <v>9.1999999999999993</v>
      </c>
      <c r="T396" s="197">
        <f t="shared" si="50"/>
        <v>17.110499999999995</v>
      </c>
      <c r="U396" s="197">
        <f t="shared" si="51"/>
        <v>5.04</v>
      </c>
      <c r="AP396" s="197">
        <f t="shared" si="52"/>
        <v>100.10249999999999</v>
      </c>
      <c r="AQ396" s="197">
        <f t="shared" si="53"/>
        <v>17.04</v>
      </c>
    </row>
    <row r="397" spans="1:51" ht="30" x14ac:dyDescent="0.2">
      <c r="A397" s="197">
        <v>451</v>
      </c>
      <c r="B397" s="197" t="s">
        <v>119</v>
      </c>
      <c r="C397" s="197" t="s">
        <v>113</v>
      </c>
      <c r="D397" s="246" t="s">
        <v>1406</v>
      </c>
      <c r="E397" s="243" t="s">
        <v>1344</v>
      </c>
      <c r="F397" s="251">
        <v>41.7</v>
      </c>
      <c r="G397" s="251" t="e">
        <f t="shared" si="48"/>
        <v>#VALUE!</v>
      </c>
      <c r="H397" s="246" t="s">
        <v>1400</v>
      </c>
      <c r="I397" s="246" t="s">
        <v>1397</v>
      </c>
      <c r="J397" s="246" t="s">
        <v>317</v>
      </c>
      <c r="K397" s="246" t="s">
        <v>1349</v>
      </c>
      <c r="L397" s="243"/>
      <c r="M397" s="197">
        <f>14.9*2+9.25*2+9.2-2.1*2</f>
        <v>53.3</v>
      </c>
      <c r="N397" s="197">
        <f t="shared" si="49"/>
        <v>37.799999999999997</v>
      </c>
      <c r="O397" s="197">
        <v>9.1999999999999993</v>
      </c>
      <c r="P397" s="197">
        <v>6.3</v>
      </c>
      <c r="T397" s="197">
        <f t="shared" si="50"/>
        <v>17.110499999999995</v>
      </c>
      <c r="U397" s="197">
        <f t="shared" si="51"/>
        <v>5.04</v>
      </c>
      <c r="AP397" s="197">
        <f t="shared" si="52"/>
        <v>83.815499999999986</v>
      </c>
      <c r="AQ397" s="197">
        <f t="shared" si="53"/>
        <v>17.04</v>
      </c>
      <c r="AY397" s="197">
        <f>P397*2.67-V397</f>
        <v>16.820999999999998</v>
      </c>
    </row>
    <row r="398" spans="1:51" ht="30" x14ac:dyDescent="0.2">
      <c r="A398" s="239">
        <v>452</v>
      </c>
      <c r="B398" s="197" t="s">
        <v>119</v>
      </c>
      <c r="C398" s="197" t="s">
        <v>113</v>
      </c>
      <c r="D398" s="246" t="s">
        <v>1407</v>
      </c>
      <c r="E398" s="243" t="s">
        <v>1344</v>
      </c>
      <c r="F398" s="251">
        <v>41.7</v>
      </c>
      <c r="G398" s="251">
        <f t="shared" si="48"/>
        <v>2.4002669999999999</v>
      </c>
      <c r="H398" s="248">
        <v>2400.2669999999998</v>
      </c>
      <c r="I398" s="246" t="s">
        <v>1397</v>
      </c>
      <c r="J398" s="246" t="s">
        <v>317</v>
      </c>
      <c r="K398" s="246" t="s">
        <v>1349</v>
      </c>
      <c r="L398" s="243"/>
      <c r="M398" s="197">
        <f>14.9*2+9.25*2+9.2-2.1*2</f>
        <v>53.3</v>
      </c>
      <c r="N398" s="197">
        <f t="shared" si="49"/>
        <v>37.799999999999997</v>
      </c>
      <c r="O398" s="197">
        <v>9.1999999999999993</v>
      </c>
      <c r="P398" s="197">
        <v>6.3</v>
      </c>
      <c r="T398" s="197">
        <f t="shared" si="50"/>
        <v>17.110499999999995</v>
      </c>
      <c r="U398" s="197">
        <f t="shared" si="51"/>
        <v>5.04</v>
      </c>
      <c r="AP398" s="197">
        <f t="shared" si="52"/>
        <v>83.815499999999986</v>
      </c>
      <c r="AQ398" s="197">
        <f t="shared" si="53"/>
        <v>17.04</v>
      </c>
      <c r="AY398" s="197">
        <f>P398*2.67-V398</f>
        <v>16.820999999999998</v>
      </c>
    </row>
    <row r="399" spans="1:51" ht="30" x14ac:dyDescent="0.2">
      <c r="A399" s="239">
        <v>453</v>
      </c>
      <c r="B399" s="197" t="s">
        <v>119</v>
      </c>
      <c r="C399" s="197" t="s">
        <v>113</v>
      </c>
      <c r="D399" s="246" t="s">
        <v>1408</v>
      </c>
      <c r="E399" s="243" t="s">
        <v>1344</v>
      </c>
      <c r="F399" s="251">
        <v>41.7</v>
      </c>
      <c r="G399" s="251">
        <f t="shared" si="48"/>
        <v>2.4002669999999999</v>
      </c>
      <c r="H399" s="248">
        <v>2400.2669999999998</v>
      </c>
      <c r="I399" s="246" t="s">
        <v>1359</v>
      </c>
      <c r="J399" s="246" t="s">
        <v>46</v>
      </c>
      <c r="K399" s="246" t="s">
        <v>1404</v>
      </c>
      <c r="L399" s="243"/>
      <c r="M399" s="197">
        <f>14.9*2+9.15*2+9.2-2.1*2</f>
        <v>53.099999999999994</v>
      </c>
      <c r="N399" s="197">
        <f t="shared" si="49"/>
        <v>43.899999999999991</v>
      </c>
      <c r="O399" s="197">
        <v>9.1999999999999993</v>
      </c>
      <c r="T399" s="197">
        <f t="shared" si="50"/>
        <v>17.110499999999995</v>
      </c>
      <c r="U399" s="197">
        <f t="shared" si="51"/>
        <v>5.04</v>
      </c>
      <c r="AP399" s="197">
        <f t="shared" si="52"/>
        <v>100.10249999999999</v>
      </c>
      <c r="AQ399" s="197">
        <f t="shared" si="53"/>
        <v>17.04</v>
      </c>
    </row>
    <row r="400" spans="1:51" x14ac:dyDescent="0.2">
      <c r="A400" s="239">
        <v>459</v>
      </c>
      <c r="B400" s="197" t="s">
        <v>119</v>
      </c>
      <c r="C400" s="197" t="s">
        <v>114</v>
      </c>
      <c r="D400" s="246"/>
      <c r="E400" s="243" t="s">
        <v>1274</v>
      </c>
      <c r="F400" s="244"/>
      <c r="G400" s="244"/>
      <c r="H400" s="242"/>
      <c r="I400" s="242"/>
      <c r="J400" s="242"/>
      <c r="K400" s="242"/>
      <c r="L400" s="245"/>
    </row>
    <row r="401" spans="1:52" x14ac:dyDescent="0.2">
      <c r="A401" s="197">
        <v>460</v>
      </c>
      <c r="B401" s="197" t="s">
        <v>119</v>
      </c>
      <c r="C401" s="197" t="s">
        <v>114</v>
      </c>
      <c r="D401" s="246"/>
      <c r="E401" s="243" t="s">
        <v>1270</v>
      </c>
      <c r="F401" s="244"/>
      <c r="G401" s="244"/>
      <c r="H401" s="242"/>
      <c r="I401" s="242"/>
      <c r="J401" s="242"/>
      <c r="K401" s="242"/>
      <c r="L401" s="245"/>
    </row>
    <row r="402" spans="1:52" x14ac:dyDescent="0.2">
      <c r="A402" s="239">
        <v>461</v>
      </c>
      <c r="B402" s="197" t="s">
        <v>119</v>
      </c>
      <c r="C402" s="197" t="s">
        <v>114</v>
      </c>
      <c r="D402" s="246" t="s">
        <v>356</v>
      </c>
      <c r="E402" s="243" t="s">
        <v>673</v>
      </c>
      <c r="F402" s="250">
        <v>42.5</v>
      </c>
      <c r="G402" s="251">
        <f>H402/1000</f>
        <v>2.61</v>
      </c>
      <c r="H402" s="248">
        <v>2610</v>
      </c>
      <c r="I402" s="246" t="s">
        <v>1031</v>
      </c>
      <c r="J402" s="246" t="s">
        <v>85</v>
      </c>
      <c r="K402" s="246" t="s">
        <v>1032</v>
      </c>
      <c r="L402" s="243"/>
      <c r="M402" s="197">
        <f>31.5+10.2</f>
        <v>41.7</v>
      </c>
      <c r="N402" s="197">
        <f>M402-Q402-P402-O402</f>
        <v>32.825000000000003</v>
      </c>
      <c r="O402" s="197">
        <v>1.9</v>
      </c>
      <c r="P402" s="197">
        <f>0.815+0.15+1.31</f>
        <v>2.2749999999999999</v>
      </c>
      <c r="Q402" s="197">
        <f>4.4+0.15*2</f>
        <v>4.7</v>
      </c>
      <c r="T402" s="197">
        <f>4.65*2.55+4.1*2.55+2.55*2.655+1.1*2.1</f>
        <v>31.392749999999999</v>
      </c>
      <c r="AM402" s="197">
        <f>N402*G402-T402</f>
        <v>54.280500000000011</v>
      </c>
      <c r="AN402" s="197">
        <f>O402*G402-U402</f>
        <v>4.9589999999999996</v>
      </c>
      <c r="AO402" s="197">
        <f>P402*G402-V402</f>
        <v>5.9377499999999994</v>
      </c>
      <c r="AZ402" s="197">
        <f>Q402*G402-W402</f>
        <v>12.266999999999999</v>
      </c>
    </row>
    <row r="403" spans="1:52" x14ac:dyDescent="0.2">
      <c r="A403" s="239">
        <v>462</v>
      </c>
      <c r="B403" s="197" t="s">
        <v>119</v>
      </c>
      <c r="C403" s="197" t="s">
        <v>114</v>
      </c>
      <c r="D403" s="246" t="s">
        <v>659</v>
      </c>
      <c r="E403" s="243" t="s">
        <v>660</v>
      </c>
      <c r="F403" s="250">
        <v>6.15</v>
      </c>
      <c r="G403" s="251" t="e">
        <f>H403/1000</f>
        <v>#VALUE!</v>
      </c>
      <c r="H403" s="242" t="s">
        <v>9</v>
      </c>
      <c r="I403" s="242" t="s">
        <v>9</v>
      </c>
      <c r="J403" s="246" t="s">
        <v>8</v>
      </c>
      <c r="K403" s="242" t="s">
        <v>9</v>
      </c>
      <c r="L403" s="245"/>
    </row>
    <row r="404" spans="1:52" x14ac:dyDescent="0.2">
      <c r="A404" s="197">
        <v>463</v>
      </c>
      <c r="B404" s="197" t="s">
        <v>119</v>
      </c>
      <c r="C404" s="197" t="s">
        <v>114</v>
      </c>
      <c r="D404" s="246" t="s">
        <v>387</v>
      </c>
      <c r="E404" s="243" t="s">
        <v>644</v>
      </c>
      <c r="F404" s="250">
        <v>4.5</v>
      </c>
      <c r="G404" s="251" t="e">
        <f>H404/1000</f>
        <v>#VALUE!</v>
      </c>
      <c r="H404" s="242" t="s">
        <v>9</v>
      </c>
      <c r="I404" s="242" t="s">
        <v>9</v>
      </c>
      <c r="J404" s="246" t="s">
        <v>8</v>
      </c>
      <c r="K404" s="242" t="s">
        <v>9</v>
      </c>
      <c r="L404" s="245"/>
    </row>
    <row r="405" spans="1:52" ht="30" x14ac:dyDescent="0.2">
      <c r="A405" s="239">
        <v>464</v>
      </c>
      <c r="B405" s="197" t="s">
        <v>119</v>
      </c>
      <c r="C405" s="197" t="s">
        <v>114</v>
      </c>
      <c r="D405" s="246" t="s">
        <v>349</v>
      </c>
      <c r="E405" s="243" t="s">
        <v>679</v>
      </c>
      <c r="F405" s="250">
        <v>71.8</v>
      </c>
      <c r="G405" s="250"/>
      <c r="H405" s="248">
        <v>2830</v>
      </c>
      <c r="I405" s="246" t="s">
        <v>656</v>
      </c>
      <c r="J405" s="242" t="s">
        <v>86</v>
      </c>
      <c r="K405" s="246" t="s">
        <v>836</v>
      </c>
      <c r="L405" s="243"/>
      <c r="M405" s="197">
        <v>60.8</v>
      </c>
      <c r="N405" s="197">
        <f>0.8+2.5+0.6</f>
        <v>3.9</v>
      </c>
      <c r="O405" s="197">
        <f>2.5+3.15+1.1</f>
        <v>6.75</v>
      </c>
      <c r="P405" s="197">
        <f>(0.325*2+2.25)*3</f>
        <v>8.6999999999999993</v>
      </c>
      <c r="Q405" s="197">
        <f>M405-R405-P405-O405-N405</f>
        <v>35.35</v>
      </c>
      <c r="R405" s="197">
        <f>0.55+0.55+0.1+4.9</f>
        <v>6.1000000000000005</v>
      </c>
      <c r="T405" s="197">
        <f>1.1*2.1</f>
        <v>2.3100000000000005</v>
      </c>
      <c r="W405" s="197">
        <f>2.45*2.85*2+2.55*2.655+3.5*2.55</f>
        <v>29.660249999999998</v>
      </c>
      <c r="AL405" s="197">
        <f>N405*H405/1000-T405</f>
        <v>8.7270000000000003</v>
      </c>
      <c r="AM405" s="197">
        <f>O405*H405/1000-U405</f>
        <v>19.102499999999999</v>
      </c>
      <c r="AN405" s="197">
        <f>P405*H405/1000-V405</f>
        <v>24.620999999999995</v>
      </c>
      <c r="AP405" s="197">
        <f>Q405*H405/1000-W405</f>
        <v>70.38024999999999</v>
      </c>
      <c r="AZ405" s="197">
        <f>R405*H405/1000-X405</f>
        <v>17.263000000000002</v>
      </c>
    </row>
    <row r="406" spans="1:52" x14ac:dyDescent="0.2">
      <c r="A406" s="239">
        <v>465</v>
      </c>
      <c r="B406" s="197" t="s">
        <v>119</v>
      </c>
      <c r="C406" s="197" t="s">
        <v>114</v>
      </c>
      <c r="D406" s="265" t="s">
        <v>333</v>
      </c>
      <c r="E406" s="243" t="s">
        <v>679</v>
      </c>
      <c r="F406" s="250">
        <v>18.899999999999999</v>
      </c>
      <c r="G406" s="251">
        <f t="shared" ref="G406:G415" si="54">H406/1000</f>
        <v>2.83</v>
      </c>
      <c r="H406" s="248">
        <v>2830</v>
      </c>
      <c r="I406" s="246" t="s">
        <v>656</v>
      </c>
      <c r="J406" s="246" t="s">
        <v>73</v>
      </c>
      <c r="K406" s="246" t="s">
        <v>836</v>
      </c>
      <c r="L406" s="243"/>
    </row>
    <row r="407" spans="1:52" x14ac:dyDescent="0.2">
      <c r="A407" s="197">
        <v>466</v>
      </c>
      <c r="B407" s="197" t="s">
        <v>119</v>
      </c>
      <c r="C407" s="197" t="s">
        <v>114</v>
      </c>
      <c r="D407" s="265" t="s">
        <v>236</v>
      </c>
      <c r="E407" s="243" t="s">
        <v>679</v>
      </c>
      <c r="F407" s="250">
        <v>53.55</v>
      </c>
      <c r="G407" s="251">
        <f t="shared" si="54"/>
        <v>2.83</v>
      </c>
      <c r="H407" s="248">
        <v>2830</v>
      </c>
      <c r="I407" s="246" t="s">
        <v>1334</v>
      </c>
      <c r="J407" s="246" t="s">
        <v>109</v>
      </c>
      <c r="K407" s="246" t="s">
        <v>836</v>
      </c>
      <c r="L407" s="243"/>
    </row>
    <row r="408" spans="1:52" x14ac:dyDescent="0.2">
      <c r="A408" s="239">
        <v>467</v>
      </c>
      <c r="B408" s="197" t="s">
        <v>119</v>
      </c>
      <c r="C408" s="197" t="s">
        <v>114</v>
      </c>
      <c r="D408" s="265" t="s">
        <v>337</v>
      </c>
      <c r="E408" s="243" t="s">
        <v>679</v>
      </c>
      <c r="F408" s="250">
        <v>38.35</v>
      </c>
      <c r="G408" s="251">
        <f t="shared" si="54"/>
        <v>2.83</v>
      </c>
      <c r="H408" s="248">
        <v>2830</v>
      </c>
      <c r="I408" s="246" t="s">
        <v>977</v>
      </c>
      <c r="J408" s="246" t="s">
        <v>88</v>
      </c>
      <c r="K408" s="246" t="s">
        <v>836</v>
      </c>
      <c r="L408" s="243"/>
    </row>
    <row r="409" spans="1:52" x14ac:dyDescent="0.2">
      <c r="A409" s="239">
        <v>468</v>
      </c>
      <c r="B409" s="197" t="s">
        <v>119</v>
      </c>
      <c r="C409" s="197" t="s">
        <v>114</v>
      </c>
      <c r="D409" s="246" t="s">
        <v>446</v>
      </c>
      <c r="E409" s="243" t="s">
        <v>802</v>
      </c>
      <c r="F409" s="250">
        <v>4.8499999999999996</v>
      </c>
      <c r="G409" s="251">
        <f t="shared" si="54"/>
        <v>2.4</v>
      </c>
      <c r="H409" s="248">
        <v>2400</v>
      </c>
      <c r="I409" s="246" t="s">
        <v>654</v>
      </c>
      <c r="J409" s="246" t="s">
        <v>60</v>
      </c>
      <c r="K409" s="246" t="s">
        <v>756</v>
      </c>
      <c r="L409" s="243"/>
      <c r="M409" s="197">
        <f>9.8</f>
        <v>9.8000000000000007</v>
      </c>
      <c r="N409" s="197">
        <f>1.5</f>
        <v>1.5</v>
      </c>
      <c r="O409" s="197">
        <f>M409-P409-N409</f>
        <v>5.25</v>
      </c>
      <c r="P409" s="197">
        <f>0.6+2.45</f>
        <v>3.0500000000000003</v>
      </c>
      <c r="AH409" s="197">
        <f>N409*G409-T409</f>
        <v>3.5999999999999996</v>
      </c>
      <c r="AP409" s="197">
        <f>O409*G409-U409</f>
        <v>12.6</v>
      </c>
      <c r="AR409" s="197">
        <f>P409*G409-V409</f>
        <v>7.32</v>
      </c>
    </row>
    <row r="410" spans="1:52" ht="30" x14ac:dyDescent="0.2">
      <c r="A410" s="197">
        <v>469</v>
      </c>
      <c r="B410" s="197" t="s">
        <v>119</v>
      </c>
      <c r="C410" s="197" t="s">
        <v>114</v>
      </c>
      <c r="D410" s="246" t="s">
        <v>418</v>
      </c>
      <c r="E410" s="252" t="s">
        <v>104</v>
      </c>
      <c r="F410" s="247">
        <v>4.45</v>
      </c>
      <c r="G410" s="251">
        <f t="shared" si="54"/>
        <v>2.4</v>
      </c>
      <c r="H410" s="248">
        <v>2400</v>
      </c>
      <c r="I410" s="246" t="s">
        <v>654</v>
      </c>
      <c r="J410" s="246" t="s">
        <v>89</v>
      </c>
      <c r="K410" s="246" t="s">
        <v>756</v>
      </c>
      <c r="L410" s="243"/>
      <c r="M410" s="197">
        <v>9.4499999999999993</v>
      </c>
      <c r="N410" s="197">
        <f>0.6+0.2</f>
        <v>0.8</v>
      </c>
      <c r="O410" s="197">
        <f>1.15</f>
        <v>1.1499999999999999</v>
      </c>
      <c r="P410" s="197">
        <f>M410-O410-N410</f>
        <v>7.4999999999999991</v>
      </c>
      <c r="V410" s="197">
        <f>0.85*2.4</f>
        <v>2.04</v>
      </c>
      <c r="AM410" s="197">
        <f>N410*G410-T410</f>
        <v>1.92</v>
      </c>
      <c r="AP410" s="197">
        <f>O410*G410-U410</f>
        <v>2.76</v>
      </c>
      <c r="AR410" s="197">
        <f>P410*G410-V410</f>
        <v>15.959999999999997</v>
      </c>
    </row>
    <row r="411" spans="1:52" ht="30" x14ac:dyDescent="0.2">
      <c r="A411" s="239">
        <v>470</v>
      </c>
      <c r="B411" s="197" t="s">
        <v>119</v>
      </c>
      <c r="C411" s="197" t="s">
        <v>114</v>
      </c>
      <c r="D411" s="246" t="s">
        <v>378</v>
      </c>
      <c r="E411" s="243" t="s">
        <v>806</v>
      </c>
      <c r="F411" s="250">
        <v>7.65</v>
      </c>
      <c r="G411" s="251">
        <f t="shared" si="54"/>
        <v>2.4</v>
      </c>
      <c r="H411" s="248">
        <v>2400</v>
      </c>
      <c r="I411" s="246" t="s">
        <v>654</v>
      </c>
      <c r="J411" s="246" t="s">
        <v>36</v>
      </c>
      <c r="K411" s="246" t="s">
        <v>756</v>
      </c>
      <c r="L411" s="243"/>
      <c r="M411" s="197">
        <f>14.3</f>
        <v>14.3</v>
      </c>
      <c r="N411" s="197">
        <f>0.2+0.6</f>
        <v>0.8</v>
      </c>
      <c r="O411" s="197">
        <f>M411-N411</f>
        <v>13.5</v>
      </c>
      <c r="AM411" s="197">
        <f>N411*G411-T411</f>
        <v>1.92</v>
      </c>
      <c r="AP411" s="197">
        <f>O411*G411-U411</f>
        <v>32.4</v>
      </c>
    </row>
    <row r="412" spans="1:52" ht="30" x14ac:dyDescent="0.2">
      <c r="A412" s="239">
        <v>471</v>
      </c>
      <c r="B412" s="197" t="s">
        <v>119</v>
      </c>
      <c r="C412" s="197" t="s">
        <v>114</v>
      </c>
      <c r="D412" s="246" t="s">
        <v>456</v>
      </c>
      <c r="E412" s="243" t="s">
        <v>841</v>
      </c>
      <c r="F412" s="250">
        <v>8.1999999999999993</v>
      </c>
      <c r="G412" s="251">
        <f t="shared" si="54"/>
        <v>2.4</v>
      </c>
      <c r="H412" s="248">
        <v>2400</v>
      </c>
      <c r="I412" s="246" t="s">
        <v>656</v>
      </c>
      <c r="J412" s="246" t="s">
        <v>89</v>
      </c>
      <c r="K412" s="246" t="s">
        <v>763</v>
      </c>
      <c r="L412" s="243"/>
      <c r="M412" s="197">
        <v>12.05</v>
      </c>
      <c r="N412" s="197">
        <f>0.2+0.8</f>
        <v>1</v>
      </c>
      <c r="O412" s="197">
        <f>M412-P412-N412</f>
        <v>7.3000000000000007</v>
      </c>
      <c r="P412" s="197">
        <f>0.6*2+2.55</f>
        <v>3.75</v>
      </c>
      <c r="U412" s="197">
        <f>1.8*2.4</f>
        <v>4.32</v>
      </c>
      <c r="AM412" s="197">
        <f>N412*G412-T412</f>
        <v>2.4</v>
      </c>
      <c r="AP412" s="197">
        <f>O412*G412-U412</f>
        <v>13.2</v>
      </c>
      <c r="AR412" s="197">
        <f>P412*G412-V412</f>
        <v>9</v>
      </c>
    </row>
    <row r="413" spans="1:52" x14ac:dyDescent="0.2">
      <c r="A413" s="197">
        <v>472</v>
      </c>
      <c r="B413" s="197" t="s">
        <v>119</v>
      </c>
      <c r="C413" s="197" t="s">
        <v>114</v>
      </c>
      <c r="D413" s="265" t="s">
        <v>396</v>
      </c>
      <c r="E413" s="243" t="s">
        <v>843</v>
      </c>
      <c r="F413" s="250">
        <v>7.75</v>
      </c>
      <c r="G413" s="251">
        <f t="shared" si="54"/>
        <v>2.4</v>
      </c>
      <c r="H413" s="248">
        <v>2400</v>
      </c>
      <c r="I413" s="246" t="s">
        <v>656</v>
      </c>
      <c r="J413" s="246" t="s">
        <v>34</v>
      </c>
      <c r="K413" s="246" t="s">
        <v>756</v>
      </c>
      <c r="L413" s="243"/>
      <c r="AP413" s="197">
        <f>N413*G413-T413</f>
        <v>0</v>
      </c>
    </row>
    <row r="414" spans="1:52" x14ac:dyDescent="0.2">
      <c r="A414" s="239">
        <v>473</v>
      </c>
      <c r="B414" s="197" t="s">
        <v>119</v>
      </c>
      <c r="C414" s="197" t="s">
        <v>114</v>
      </c>
      <c r="D414" s="265" t="s">
        <v>415</v>
      </c>
      <c r="E414" s="243" t="s">
        <v>845</v>
      </c>
      <c r="F414" s="250">
        <v>17.7</v>
      </c>
      <c r="G414" s="251">
        <f t="shared" si="54"/>
        <v>2.4</v>
      </c>
      <c r="H414" s="248">
        <v>2400</v>
      </c>
      <c r="I414" s="246" t="s">
        <v>656</v>
      </c>
      <c r="J414" s="246" t="s">
        <v>46</v>
      </c>
      <c r="K414" s="246" t="s">
        <v>763</v>
      </c>
      <c r="L414" s="243"/>
      <c r="AP414" s="197">
        <f>N414*G414-T414</f>
        <v>0</v>
      </c>
      <c r="AQ414" s="197">
        <f>O414*G414-U414</f>
        <v>0</v>
      </c>
    </row>
    <row r="415" spans="1:52" ht="30" x14ac:dyDescent="0.2">
      <c r="A415" s="239">
        <v>474</v>
      </c>
      <c r="B415" s="197" t="s">
        <v>119</v>
      </c>
      <c r="C415" s="197" t="s">
        <v>114</v>
      </c>
      <c r="D415" s="246" t="s">
        <v>899</v>
      </c>
      <c r="E415" s="243" t="s">
        <v>847</v>
      </c>
      <c r="F415" s="250">
        <v>71.45</v>
      </c>
      <c r="G415" s="251">
        <f t="shared" si="54"/>
        <v>2.83</v>
      </c>
      <c r="H415" s="248">
        <v>2830</v>
      </c>
      <c r="I415" s="246" t="s">
        <v>656</v>
      </c>
      <c r="J415" s="246" t="s">
        <v>316</v>
      </c>
      <c r="K415" s="246" t="s">
        <v>836</v>
      </c>
      <c r="L415" s="243"/>
      <c r="M415" s="197">
        <f>99.7+1.26*5-9.45-6.5</f>
        <v>90.05</v>
      </c>
      <c r="N415" s="197">
        <f>1.6+1.26*5+0.2+0.6</f>
        <v>8.6999999999999993</v>
      </c>
      <c r="O415" s="197">
        <f>(0.325*2+2.25)*6</f>
        <v>17.399999999999999</v>
      </c>
      <c r="P415" s="197">
        <f>M415-R415-O415-N415-Q415</f>
        <v>53.739999999999981</v>
      </c>
      <c r="Q415" s="197">
        <f>3.2</f>
        <v>3.2</v>
      </c>
      <c r="R415" s="197">
        <f>0.45+6.56</f>
        <v>7.01</v>
      </c>
      <c r="V415" s="197">
        <f>2.45*2.85+2.45*2.85</f>
        <v>13.965000000000002</v>
      </c>
      <c r="AM415" s="197">
        <f>N415*G415-T415</f>
        <v>24.620999999999999</v>
      </c>
      <c r="AN415" s="197">
        <f>O415*G415-U415</f>
        <v>49.241999999999997</v>
      </c>
      <c r="AP415" s="197">
        <f>P415*G415-V415</f>
        <v>138.11919999999995</v>
      </c>
      <c r="AQ415" s="197">
        <f>Q415*G415-W415</f>
        <v>9.0560000000000009</v>
      </c>
      <c r="AZ415" s="197">
        <f>R415*G415-X415</f>
        <v>19.8383</v>
      </c>
    </row>
    <row r="416" spans="1:52" x14ac:dyDescent="0.2">
      <c r="A416" s="197">
        <v>475</v>
      </c>
      <c r="B416" s="197" t="s">
        <v>119</v>
      </c>
      <c r="C416" s="197" t="s">
        <v>114</v>
      </c>
      <c r="D416" s="246" t="s">
        <v>367</v>
      </c>
      <c r="E416" s="243" t="s">
        <v>1284</v>
      </c>
      <c r="F416" s="244"/>
      <c r="G416" s="244"/>
      <c r="H416" s="242"/>
      <c r="I416" s="242"/>
      <c r="J416" s="242"/>
      <c r="K416" s="242"/>
      <c r="L416" s="245"/>
    </row>
    <row r="417" spans="1:51" ht="30" x14ac:dyDescent="0.2">
      <c r="A417" s="239">
        <v>476</v>
      </c>
      <c r="B417" s="197" t="s">
        <v>119</v>
      </c>
      <c r="C417" s="197" t="s">
        <v>114</v>
      </c>
      <c r="D417" s="246" t="s">
        <v>404</v>
      </c>
      <c r="E417" s="243" t="s">
        <v>891</v>
      </c>
      <c r="F417" s="250">
        <v>5.6</v>
      </c>
      <c r="G417" s="251">
        <f>H417/1000</f>
        <v>2.4</v>
      </c>
      <c r="H417" s="248">
        <v>2400</v>
      </c>
      <c r="I417" s="246" t="s">
        <v>656</v>
      </c>
      <c r="J417" s="246" t="s">
        <v>34</v>
      </c>
      <c r="K417" s="246" t="s">
        <v>756</v>
      </c>
      <c r="L417" s="243"/>
      <c r="M417" s="197">
        <v>9.75</v>
      </c>
      <c r="N417" s="197">
        <f>M417</f>
        <v>9.75</v>
      </c>
      <c r="AP417" s="197">
        <f>N417*G417-T417</f>
        <v>23.4</v>
      </c>
    </row>
    <row r="418" spans="1:51" x14ac:dyDescent="0.2">
      <c r="A418" s="239">
        <v>477</v>
      </c>
      <c r="B418" s="197" t="s">
        <v>119</v>
      </c>
      <c r="C418" s="197" t="s">
        <v>114</v>
      </c>
      <c r="D418" s="246" t="s">
        <v>468</v>
      </c>
      <c r="E418" s="243" t="s">
        <v>893</v>
      </c>
      <c r="F418" s="250">
        <v>15.35</v>
      </c>
      <c r="G418" s="251">
        <f>H418/1000</f>
        <v>2.67</v>
      </c>
      <c r="H418" s="246">
        <v>2670</v>
      </c>
      <c r="I418" s="246" t="s">
        <v>656</v>
      </c>
      <c r="J418" s="246" t="s">
        <v>46</v>
      </c>
      <c r="K418" s="246" t="s">
        <v>763</v>
      </c>
      <c r="L418" s="243"/>
      <c r="M418" s="197">
        <f>3.35*2+0.6*2+3.935*2</f>
        <v>15.77</v>
      </c>
      <c r="N418" s="197">
        <f>M418-O418</f>
        <v>11.219999999999999</v>
      </c>
      <c r="O418" s="197">
        <f>0.6+3.35+0.6</f>
        <v>4.55</v>
      </c>
      <c r="T418" s="197">
        <f>3.35*2.55</f>
        <v>8.5425000000000004</v>
      </c>
      <c r="AP418" s="197">
        <f>N418*G418-T418</f>
        <v>21.414899999999996</v>
      </c>
      <c r="AQ418" s="197">
        <f>O418*G418-U418</f>
        <v>12.148499999999999</v>
      </c>
    </row>
    <row r="419" spans="1:51" x14ac:dyDescent="0.2">
      <c r="A419" s="197">
        <v>478</v>
      </c>
      <c r="B419" s="197" t="s">
        <v>119</v>
      </c>
      <c r="C419" s="197" t="s">
        <v>114</v>
      </c>
      <c r="D419" s="246" t="s">
        <v>476</v>
      </c>
      <c r="E419" s="243" t="s">
        <v>929</v>
      </c>
      <c r="F419" s="250">
        <v>5.65</v>
      </c>
      <c r="G419" s="251">
        <f>H419/1000</f>
        <v>2.4</v>
      </c>
      <c r="H419" s="248">
        <v>2400</v>
      </c>
      <c r="I419" s="246" t="s">
        <v>930</v>
      </c>
      <c r="J419" s="246" t="s">
        <v>101</v>
      </c>
      <c r="K419" s="246" t="s">
        <v>756</v>
      </c>
      <c r="L419" s="243"/>
      <c r="M419" s="197">
        <f>2.5+2.2*2</f>
        <v>6.9</v>
      </c>
      <c r="N419" s="197">
        <f>2.5+0.65</f>
        <v>3.15</v>
      </c>
      <c r="O419" s="197">
        <f>M419-N419</f>
        <v>3.7500000000000004</v>
      </c>
      <c r="U419" s="197">
        <f>1.4*2.4</f>
        <v>3.36</v>
      </c>
      <c r="AQ419" s="197">
        <f>N419*G419-T419</f>
        <v>7.56</v>
      </c>
      <c r="AT419" s="197">
        <f>O419*G419-U419</f>
        <v>5.6400000000000006</v>
      </c>
    </row>
    <row r="420" spans="1:51" x14ac:dyDescent="0.2">
      <c r="A420" s="239">
        <v>479</v>
      </c>
      <c r="B420" s="197" t="s">
        <v>119</v>
      </c>
      <c r="C420" s="197" t="s">
        <v>114</v>
      </c>
      <c r="D420" s="246" t="s">
        <v>931</v>
      </c>
      <c r="E420" s="243" t="s">
        <v>787</v>
      </c>
      <c r="F420" s="250">
        <v>8.65</v>
      </c>
      <c r="G420" s="251">
        <f>H420/1000</f>
        <v>2.67</v>
      </c>
      <c r="H420" s="248">
        <v>2670</v>
      </c>
      <c r="I420" s="246" t="s">
        <v>930</v>
      </c>
      <c r="J420" s="246" t="s">
        <v>101</v>
      </c>
      <c r="K420" s="246" t="s">
        <v>767</v>
      </c>
      <c r="L420" s="243"/>
      <c r="M420" s="197">
        <f>3.935*2+2.23</f>
        <v>10.1</v>
      </c>
      <c r="N420" s="197">
        <f>3.935</f>
        <v>3.9350000000000001</v>
      </c>
      <c r="O420" s="197">
        <f>M420-N420</f>
        <v>6.1649999999999991</v>
      </c>
      <c r="U420" s="197">
        <f>2.2*2.52</f>
        <v>5.5440000000000005</v>
      </c>
      <c r="AQ420" s="197">
        <f>N420*G420-T420</f>
        <v>10.506449999999999</v>
      </c>
      <c r="AT420" s="197">
        <f>O420*G420-U420</f>
        <v>10.916549999999997</v>
      </c>
    </row>
    <row r="421" spans="1:51" x14ac:dyDescent="0.2">
      <c r="A421" s="239">
        <v>480</v>
      </c>
      <c r="B421" s="197" t="s">
        <v>119</v>
      </c>
      <c r="C421" s="197" t="s">
        <v>114</v>
      </c>
      <c r="D421" s="246" t="s">
        <v>437</v>
      </c>
      <c r="E421" s="243" t="s">
        <v>1254</v>
      </c>
      <c r="F421" s="250">
        <v>21.5</v>
      </c>
      <c r="G421" s="250"/>
      <c r="H421" s="248">
        <v>2910</v>
      </c>
      <c r="I421" s="246" t="s">
        <v>1255</v>
      </c>
      <c r="J421" s="246" t="s">
        <v>92</v>
      </c>
      <c r="K421" s="246" t="s">
        <v>677</v>
      </c>
      <c r="L421" s="243"/>
    </row>
    <row r="422" spans="1:51" ht="45" x14ac:dyDescent="0.2">
      <c r="A422" s="197">
        <v>481</v>
      </c>
      <c r="B422" s="197" t="s">
        <v>119</v>
      </c>
      <c r="C422" s="197" t="s">
        <v>114</v>
      </c>
      <c r="D422" s="246" t="s">
        <v>462</v>
      </c>
      <c r="E422" s="243" t="s">
        <v>1242</v>
      </c>
      <c r="F422" s="250">
        <v>28.45</v>
      </c>
      <c r="G422" s="250"/>
      <c r="H422" s="248">
        <v>2910</v>
      </c>
      <c r="I422" s="246" t="s">
        <v>1268</v>
      </c>
      <c r="J422" s="246" t="s">
        <v>92</v>
      </c>
      <c r="K422" s="246" t="s">
        <v>677</v>
      </c>
      <c r="L422" s="243"/>
    </row>
    <row r="423" spans="1:51" x14ac:dyDescent="0.2">
      <c r="A423" s="239">
        <v>482</v>
      </c>
      <c r="B423" s="197" t="s">
        <v>119</v>
      </c>
      <c r="C423" s="197" t="s">
        <v>114</v>
      </c>
      <c r="D423" s="246" t="s">
        <v>428</v>
      </c>
      <c r="E423" s="243" t="s">
        <v>754</v>
      </c>
      <c r="F423" s="250">
        <v>18.149999999999999</v>
      </c>
      <c r="G423" s="251">
        <f>H423/1000</f>
        <v>2.67</v>
      </c>
      <c r="H423" s="246">
        <v>2670</v>
      </c>
      <c r="I423" s="246" t="s">
        <v>755</v>
      </c>
      <c r="J423" s="246" t="s">
        <v>34</v>
      </c>
      <c r="K423" s="246" t="s">
        <v>756</v>
      </c>
      <c r="L423" s="243"/>
      <c r="M423" s="197">
        <f>3.3+6.35+2.2+2.15</f>
        <v>13.999999999999998</v>
      </c>
      <c r="N423" s="197">
        <f>M423</f>
        <v>13.999999999999998</v>
      </c>
      <c r="T423" s="197">
        <f>3.26*2.55</f>
        <v>8.3129999999999988</v>
      </c>
      <c r="AP423" s="197">
        <f>N423*G423-T423</f>
        <v>29.066999999999997</v>
      </c>
    </row>
    <row r="424" spans="1:51" x14ac:dyDescent="0.2">
      <c r="A424" s="239">
        <v>483</v>
      </c>
      <c r="B424" s="197" t="s">
        <v>119</v>
      </c>
      <c r="C424" s="197" t="s">
        <v>114</v>
      </c>
      <c r="D424" s="246" t="s">
        <v>401</v>
      </c>
      <c r="E424" s="243" t="s">
        <v>758</v>
      </c>
      <c r="F424" s="250">
        <v>18.149999999999999</v>
      </c>
      <c r="G424" s="251">
        <f>H424/1000</f>
        <v>2.67</v>
      </c>
      <c r="H424" s="246">
        <v>2670</v>
      </c>
      <c r="I424" s="246" t="s">
        <v>755</v>
      </c>
      <c r="J424" s="246" t="s">
        <v>34</v>
      </c>
      <c r="K424" s="246" t="s">
        <v>763</v>
      </c>
      <c r="L424" s="243"/>
      <c r="M424" s="197">
        <f>3.3+6.35+2.2+2.15</f>
        <v>13.999999999999998</v>
      </c>
      <c r="N424" s="197">
        <f>M424</f>
        <v>13.999999999999998</v>
      </c>
      <c r="T424" s="197">
        <f>3.26*2.55</f>
        <v>8.3129999999999988</v>
      </c>
      <c r="AP424" s="197">
        <f>N424*G424-T424</f>
        <v>29.066999999999997</v>
      </c>
    </row>
    <row r="425" spans="1:51" x14ac:dyDescent="0.2">
      <c r="A425" s="197">
        <v>484</v>
      </c>
      <c r="B425" s="197" t="s">
        <v>119</v>
      </c>
      <c r="C425" s="197" t="s">
        <v>114</v>
      </c>
      <c r="D425" s="246" t="s">
        <v>431</v>
      </c>
      <c r="E425" s="243" t="s">
        <v>789</v>
      </c>
      <c r="F425" s="250">
        <v>5.3</v>
      </c>
      <c r="G425" s="251">
        <f>H425/1000</f>
        <v>2.4</v>
      </c>
      <c r="H425" s="248">
        <v>2400</v>
      </c>
      <c r="I425" s="246" t="s">
        <v>766</v>
      </c>
      <c r="J425" s="246" t="s">
        <v>45</v>
      </c>
      <c r="K425" s="246" t="s">
        <v>738</v>
      </c>
      <c r="L425" s="243"/>
      <c r="M425" s="197">
        <f>1.2*2+2+0.66</f>
        <v>5.0600000000000005</v>
      </c>
      <c r="N425" s="197">
        <f>M425</f>
        <v>5.0600000000000005</v>
      </c>
      <c r="AQ425" s="197">
        <f>N425*G425-T425</f>
        <v>12.144</v>
      </c>
    </row>
    <row r="426" spans="1:51" x14ac:dyDescent="0.2">
      <c r="A426" s="239">
        <v>485</v>
      </c>
      <c r="B426" s="197" t="s">
        <v>119</v>
      </c>
      <c r="C426" s="197" t="s">
        <v>114</v>
      </c>
      <c r="D426" s="246"/>
      <c r="E426" s="243" t="s">
        <v>1286</v>
      </c>
      <c r="F426" s="244"/>
      <c r="G426" s="244"/>
      <c r="H426" s="242"/>
      <c r="I426" s="242"/>
      <c r="J426" s="242"/>
      <c r="K426" s="242"/>
      <c r="L426" s="245"/>
    </row>
    <row r="427" spans="1:51" ht="30" x14ac:dyDescent="0.2">
      <c r="A427" s="239">
        <v>486</v>
      </c>
      <c r="B427" s="197" t="s">
        <v>119</v>
      </c>
      <c r="C427" s="197" t="s">
        <v>114</v>
      </c>
      <c r="D427" s="246" t="s">
        <v>1409</v>
      </c>
      <c r="E427" s="243" t="s">
        <v>1344</v>
      </c>
      <c r="F427" s="250">
        <v>41.7</v>
      </c>
      <c r="G427" s="251">
        <f t="shared" ref="G427:G434" si="55">H427/1000</f>
        <v>2.4002669999999999</v>
      </c>
      <c r="H427" s="248">
        <v>2400.2669999999998</v>
      </c>
      <c r="I427" s="246" t="s">
        <v>1410</v>
      </c>
      <c r="J427" s="246" t="s">
        <v>317</v>
      </c>
      <c r="K427" s="246" t="s">
        <v>1349</v>
      </c>
      <c r="L427" s="243"/>
      <c r="M427" s="197">
        <f>14.9*2+9.25*2+9.2-2.1*2</f>
        <v>53.3</v>
      </c>
      <c r="N427" s="197">
        <f t="shared" ref="N427:N434" si="56">M427-O427-P427</f>
        <v>37.799999999999997</v>
      </c>
      <c r="O427" s="197">
        <v>9.1999999999999993</v>
      </c>
      <c r="P427" s="197">
        <v>6.3</v>
      </c>
      <c r="T427" s="197">
        <f t="shared" ref="T427:T434" si="57">(3.26+0.19+3.26)*2.55</f>
        <v>17.110499999999995</v>
      </c>
      <c r="U427" s="197">
        <f t="shared" ref="U427:U434" si="58">1.05*2.4*2</f>
        <v>5.04</v>
      </c>
      <c r="AP427" s="197">
        <f t="shared" ref="AP427:AP434" si="59">N427*2.67-T427</f>
        <v>83.815499999999986</v>
      </c>
      <c r="AQ427" s="197">
        <f t="shared" ref="AQ427:AQ434" si="60">O427*2.4-U427</f>
        <v>17.04</v>
      </c>
      <c r="AY427" s="197">
        <f>P427*2.67-V427</f>
        <v>16.820999999999998</v>
      </c>
    </row>
    <row r="428" spans="1:51" ht="30" x14ac:dyDescent="0.2">
      <c r="A428" s="197">
        <v>487</v>
      </c>
      <c r="B428" s="197" t="s">
        <v>119</v>
      </c>
      <c r="C428" s="197" t="s">
        <v>114</v>
      </c>
      <c r="D428" s="246" t="s">
        <v>1411</v>
      </c>
      <c r="E428" s="243" t="s">
        <v>1412</v>
      </c>
      <c r="F428" s="247">
        <v>41.7</v>
      </c>
      <c r="G428" s="251" t="e">
        <f t="shared" si="55"/>
        <v>#VALUE!</v>
      </c>
      <c r="H428" s="246" t="s">
        <v>761</v>
      </c>
      <c r="I428" s="246" t="s">
        <v>1410</v>
      </c>
      <c r="J428" s="246" t="s">
        <v>46</v>
      </c>
      <c r="K428" s="246" t="s">
        <v>1366</v>
      </c>
      <c r="L428" s="243"/>
      <c r="M428" s="197">
        <f>14.9*2+9.15*2+9.2-2.1*2</f>
        <v>53.099999999999994</v>
      </c>
      <c r="N428" s="197">
        <f t="shared" si="56"/>
        <v>43.899999999999991</v>
      </c>
      <c r="O428" s="197">
        <v>9.1999999999999993</v>
      </c>
      <c r="T428" s="197">
        <f t="shared" si="57"/>
        <v>17.110499999999995</v>
      </c>
      <c r="U428" s="197">
        <f t="shared" si="58"/>
        <v>5.04</v>
      </c>
      <c r="AP428" s="197">
        <f t="shared" si="59"/>
        <v>100.10249999999999</v>
      </c>
      <c r="AQ428" s="197">
        <f t="shared" si="60"/>
        <v>17.04</v>
      </c>
    </row>
    <row r="429" spans="1:51" ht="30" x14ac:dyDescent="0.2">
      <c r="A429" s="239">
        <v>488</v>
      </c>
      <c r="B429" s="197" t="s">
        <v>119</v>
      </c>
      <c r="C429" s="197" t="s">
        <v>114</v>
      </c>
      <c r="D429" s="246" t="s">
        <v>1413</v>
      </c>
      <c r="E429" s="243" t="s">
        <v>1344</v>
      </c>
      <c r="F429" s="250">
        <v>41.7</v>
      </c>
      <c r="G429" s="251" t="e">
        <f t="shared" si="55"/>
        <v>#VALUE!</v>
      </c>
      <c r="H429" s="246" t="s">
        <v>761</v>
      </c>
      <c r="I429" s="246" t="s">
        <v>1410</v>
      </c>
      <c r="J429" s="246" t="s">
        <v>317</v>
      </c>
      <c r="K429" s="246" t="s">
        <v>1349</v>
      </c>
      <c r="L429" s="243"/>
      <c r="M429" s="197">
        <f>14.9*2+9.25*2+9.2-2.1*2</f>
        <v>53.3</v>
      </c>
      <c r="N429" s="197">
        <f t="shared" si="56"/>
        <v>37.799999999999997</v>
      </c>
      <c r="O429" s="197">
        <v>9.1999999999999993</v>
      </c>
      <c r="P429" s="197">
        <v>6.3</v>
      </c>
      <c r="T429" s="197">
        <f t="shared" si="57"/>
        <v>17.110499999999995</v>
      </c>
      <c r="U429" s="197">
        <f t="shared" si="58"/>
        <v>5.04</v>
      </c>
      <c r="AP429" s="197">
        <f t="shared" si="59"/>
        <v>83.815499999999986</v>
      </c>
      <c r="AQ429" s="197">
        <f t="shared" si="60"/>
        <v>17.04</v>
      </c>
      <c r="AY429" s="197">
        <f>P429*2.67-V429</f>
        <v>16.820999999999998</v>
      </c>
    </row>
    <row r="430" spans="1:51" ht="30" x14ac:dyDescent="0.2">
      <c r="A430" s="239">
        <v>489</v>
      </c>
      <c r="B430" s="197" t="s">
        <v>119</v>
      </c>
      <c r="C430" s="197" t="s">
        <v>114</v>
      </c>
      <c r="D430" s="246" t="s">
        <v>1414</v>
      </c>
      <c r="E430" s="243" t="s">
        <v>1344</v>
      </c>
      <c r="F430" s="250">
        <v>41.7</v>
      </c>
      <c r="G430" s="251" t="e">
        <f t="shared" si="55"/>
        <v>#VALUE!</v>
      </c>
      <c r="H430" s="246" t="s">
        <v>761</v>
      </c>
      <c r="I430" s="246" t="s">
        <v>1415</v>
      </c>
      <c r="J430" s="246" t="s">
        <v>46</v>
      </c>
      <c r="K430" s="246" t="s">
        <v>1366</v>
      </c>
      <c r="L430" s="243"/>
      <c r="M430" s="197">
        <f>14.9*2+9.15*2+9.2-2.1*2</f>
        <v>53.099999999999994</v>
      </c>
      <c r="N430" s="197">
        <f t="shared" si="56"/>
        <v>43.899999999999991</v>
      </c>
      <c r="O430" s="197">
        <v>9.1999999999999993</v>
      </c>
      <c r="T430" s="197">
        <f t="shared" si="57"/>
        <v>17.110499999999995</v>
      </c>
      <c r="U430" s="197">
        <f t="shared" si="58"/>
        <v>5.04</v>
      </c>
      <c r="AP430" s="197">
        <f t="shared" si="59"/>
        <v>100.10249999999999</v>
      </c>
      <c r="AQ430" s="197">
        <f t="shared" si="60"/>
        <v>17.04</v>
      </c>
    </row>
    <row r="431" spans="1:51" ht="30" x14ac:dyDescent="0.2">
      <c r="A431" s="197">
        <v>490</v>
      </c>
      <c r="B431" s="197" t="s">
        <v>119</v>
      </c>
      <c r="C431" s="197" t="s">
        <v>114</v>
      </c>
      <c r="D431" s="246" t="s">
        <v>1416</v>
      </c>
      <c r="E431" s="243" t="s">
        <v>1412</v>
      </c>
      <c r="F431" s="250">
        <v>41.7</v>
      </c>
      <c r="G431" s="251">
        <f t="shared" si="55"/>
        <v>2.4002669999999999</v>
      </c>
      <c r="H431" s="248">
        <v>2400.2669999999998</v>
      </c>
      <c r="I431" s="246" t="s">
        <v>1415</v>
      </c>
      <c r="J431" s="246" t="s">
        <v>46</v>
      </c>
      <c r="K431" s="246" t="s">
        <v>1364</v>
      </c>
      <c r="L431" s="243"/>
      <c r="M431" s="197">
        <f>14.9*2+9.15*2+9.2-2.1*2</f>
        <v>53.099999999999994</v>
      </c>
      <c r="N431" s="197">
        <f t="shared" si="56"/>
        <v>43.899999999999991</v>
      </c>
      <c r="O431" s="197">
        <v>9.1999999999999993</v>
      </c>
      <c r="T431" s="197">
        <f t="shared" si="57"/>
        <v>17.110499999999995</v>
      </c>
      <c r="U431" s="197">
        <f t="shared" si="58"/>
        <v>5.04</v>
      </c>
      <c r="AP431" s="197">
        <f t="shared" si="59"/>
        <v>100.10249999999999</v>
      </c>
      <c r="AQ431" s="197">
        <f t="shared" si="60"/>
        <v>17.04</v>
      </c>
    </row>
    <row r="432" spans="1:51" ht="30" x14ac:dyDescent="0.2">
      <c r="A432" s="239">
        <v>491</v>
      </c>
      <c r="B432" s="197" t="s">
        <v>119</v>
      </c>
      <c r="C432" s="197" t="s">
        <v>114</v>
      </c>
      <c r="D432" s="246" t="s">
        <v>1417</v>
      </c>
      <c r="E432" s="243" t="s">
        <v>1344</v>
      </c>
      <c r="F432" s="250">
        <v>41.7</v>
      </c>
      <c r="G432" s="251" t="e">
        <f t="shared" si="55"/>
        <v>#VALUE!</v>
      </c>
      <c r="H432" s="246" t="s">
        <v>761</v>
      </c>
      <c r="I432" s="246" t="s">
        <v>1415</v>
      </c>
      <c r="J432" s="246" t="s">
        <v>317</v>
      </c>
      <c r="K432" s="246" t="s">
        <v>1349</v>
      </c>
      <c r="L432" s="243"/>
      <c r="M432" s="197">
        <f>14.9*2+9.25*2+9.2-2.1*2</f>
        <v>53.3</v>
      </c>
      <c r="N432" s="197">
        <f t="shared" si="56"/>
        <v>37.799999999999997</v>
      </c>
      <c r="O432" s="197">
        <v>9.1999999999999993</v>
      </c>
      <c r="P432" s="197">
        <v>6.3</v>
      </c>
      <c r="T432" s="197">
        <f t="shared" si="57"/>
        <v>17.110499999999995</v>
      </c>
      <c r="U432" s="197">
        <f t="shared" si="58"/>
        <v>5.04</v>
      </c>
      <c r="AP432" s="197">
        <f t="shared" si="59"/>
        <v>83.815499999999986</v>
      </c>
      <c r="AQ432" s="197">
        <f t="shared" si="60"/>
        <v>17.04</v>
      </c>
      <c r="AY432" s="197">
        <f>P432*2.67-V432</f>
        <v>16.820999999999998</v>
      </c>
    </row>
    <row r="433" spans="1:52" ht="30" x14ac:dyDescent="0.2">
      <c r="A433" s="239">
        <v>492</v>
      </c>
      <c r="B433" s="197" t="s">
        <v>119</v>
      </c>
      <c r="C433" s="197" t="s">
        <v>114</v>
      </c>
      <c r="D433" s="246" t="s">
        <v>1418</v>
      </c>
      <c r="E433" s="243" t="s">
        <v>1412</v>
      </c>
      <c r="F433" s="250">
        <v>41.7</v>
      </c>
      <c r="G433" s="251">
        <f t="shared" si="55"/>
        <v>2.4002669999999999</v>
      </c>
      <c r="H433" s="248">
        <v>2400.2669999999998</v>
      </c>
      <c r="I433" s="246" t="s">
        <v>1415</v>
      </c>
      <c r="J433" s="246" t="s">
        <v>317</v>
      </c>
      <c r="K433" s="246" t="s">
        <v>1349</v>
      </c>
      <c r="L433" s="243"/>
      <c r="M433" s="197">
        <f>14.9*2+9.25*2+9.2-2.1*2</f>
        <v>53.3</v>
      </c>
      <c r="N433" s="197">
        <f t="shared" si="56"/>
        <v>37.799999999999997</v>
      </c>
      <c r="O433" s="197">
        <v>9.1999999999999993</v>
      </c>
      <c r="P433" s="197">
        <v>6.3</v>
      </c>
      <c r="T433" s="197">
        <f t="shared" si="57"/>
        <v>17.110499999999995</v>
      </c>
      <c r="U433" s="197">
        <f t="shared" si="58"/>
        <v>5.04</v>
      </c>
      <c r="AP433" s="197">
        <f t="shared" si="59"/>
        <v>83.815499999999986</v>
      </c>
      <c r="AQ433" s="197">
        <f t="shared" si="60"/>
        <v>17.04</v>
      </c>
      <c r="AY433" s="197">
        <f>P433*2.67-V433</f>
        <v>16.820999999999998</v>
      </c>
    </row>
    <row r="434" spans="1:52" ht="30" x14ac:dyDescent="0.2">
      <c r="A434" s="197">
        <v>493</v>
      </c>
      <c r="B434" s="197" t="s">
        <v>119</v>
      </c>
      <c r="C434" s="197" t="s">
        <v>114</v>
      </c>
      <c r="D434" s="246" t="s">
        <v>1419</v>
      </c>
      <c r="E434" s="243" t="s">
        <v>1344</v>
      </c>
      <c r="F434" s="250">
        <v>41.7</v>
      </c>
      <c r="G434" s="251" t="e">
        <f t="shared" si="55"/>
        <v>#VALUE!</v>
      </c>
      <c r="H434" s="246" t="s">
        <v>761</v>
      </c>
      <c r="I434" s="246" t="s">
        <v>1415</v>
      </c>
      <c r="J434" s="246" t="s">
        <v>317</v>
      </c>
      <c r="K434" s="246" t="s">
        <v>1349</v>
      </c>
      <c r="L434" s="243"/>
      <c r="M434" s="197">
        <f>14.9*2+9.25*2+9.2-2.1*2</f>
        <v>53.3</v>
      </c>
      <c r="N434" s="197">
        <f t="shared" si="56"/>
        <v>37.799999999999997</v>
      </c>
      <c r="O434" s="197">
        <v>9.1999999999999993</v>
      </c>
      <c r="P434" s="197">
        <v>6.3</v>
      </c>
      <c r="T434" s="197">
        <f t="shared" si="57"/>
        <v>17.110499999999995</v>
      </c>
      <c r="U434" s="197">
        <f t="shared" si="58"/>
        <v>5.04</v>
      </c>
      <c r="AP434" s="197">
        <f t="shared" si="59"/>
        <v>83.815499999999986</v>
      </c>
      <c r="AQ434" s="197">
        <f t="shared" si="60"/>
        <v>17.04</v>
      </c>
      <c r="AY434" s="197">
        <f>P434*2.67-V434</f>
        <v>16.820999999999998</v>
      </c>
    </row>
    <row r="435" spans="1:52" x14ac:dyDescent="0.2">
      <c r="A435" s="197">
        <v>499</v>
      </c>
      <c r="B435" s="197" t="s">
        <v>120</v>
      </c>
      <c r="C435" s="197" t="s">
        <v>112</v>
      </c>
      <c r="D435" s="246"/>
      <c r="E435" s="243" t="s">
        <v>1269</v>
      </c>
      <c r="F435" s="244"/>
      <c r="G435" s="244"/>
      <c r="H435" s="242"/>
      <c r="I435" s="242"/>
      <c r="J435" s="242"/>
      <c r="K435" s="242"/>
      <c r="L435" s="270"/>
    </row>
    <row r="436" spans="1:52" x14ac:dyDescent="0.2">
      <c r="A436" s="239">
        <v>500</v>
      </c>
      <c r="B436" s="197" t="s">
        <v>120</v>
      </c>
      <c r="C436" s="197" t="s">
        <v>112</v>
      </c>
      <c r="D436" s="246"/>
      <c r="E436" s="243" t="s">
        <v>1270</v>
      </c>
      <c r="F436" s="244"/>
      <c r="G436" s="244"/>
      <c r="H436" s="242"/>
      <c r="I436" s="242"/>
      <c r="J436" s="242"/>
      <c r="K436" s="242"/>
      <c r="L436" s="270"/>
    </row>
    <row r="437" spans="1:52" x14ac:dyDescent="0.2">
      <c r="A437" s="239">
        <v>501</v>
      </c>
      <c r="B437" s="197" t="s">
        <v>120</v>
      </c>
      <c r="C437" s="197" t="s">
        <v>112</v>
      </c>
      <c r="D437" s="246" t="s">
        <v>357</v>
      </c>
      <c r="E437" s="243" t="s">
        <v>673</v>
      </c>
      <c r="F437" s="250">
        <v>42.65</v>
      </c>
      <c r="G437" s="251">
        <f>H437/1000</f>
        <v>2.61</v>
      </c>
      <c r="H437" s="248">
        <v>2610</v>
      </c>
      <c r="I437" s="246" t="s">
        <v>1031</v>
      </c>
      <c r="J437" s="246" t="s">
        <v>85</v>
      </c>
      <c r="K437" s="246" t="s">
        <v>1032</v>
      </c>
      <c r="L437" s="271"/>
      <c r="M437" s="197">
        <f>31.5+10.2</f>
        <v>41.7</v>
      </c>
      <c r="N437" s="197">
        <f>M437-Q437-P437-O437</f>
        <v>32.825000000000003</v>
      </c>
      <c r="O437" s="197">
        <v>1.9</v>
      </c>
      <c r="P437" s="197">
        <f>0.815+0.15+1.31</f>
        <v>2.2749999999999999</v>
      </c>
      <c r="Q437" s="197">
        <f>4.4+0.15*2</f>
        <v>4.7</v>
      </c>
      <c r="T437" s="197">
        <f>4.65*2.55+4.1*2.55+2.55*2.655+1.1*2.1</f>
        <v>31.392749999999999</v>
      </c>
      <c r="AM437" s="197">
        <f>N437*G437-T437</f>
        <v>54.280500000000011</v>
      </c>
      <c r="AN437" s="197">
        <f>O437*G437-U437</f>
        <v>4.9589999999999996</v>
      </c>
      <c r="AO437" s="197">
        <f>P437*G437-V437</f>
        <v>5.9377499999999994</v>
      </c>
      <c r="AZ437" s="197">
        <f>Q437*G437-W437</f>
        <v>12.266999999999999</v>
      </c>
    </row>
    <row r="438" spans="1:52" x14ac:dyDescent="0.2">
      <c r="A438" s="197">
        <v>502</v>
      </c>
      <c r="B438" s="197" t="s">
        <v>120</v>
      </c>
      <c r="C438" s="197" t="s">
        <v>112</v>
      </c>
      <c r="D438" s="246" t="s">
        <v>662</v>
      </c>
      <c r="E438" s="243" t="s">
        <v>660</v>
      </c>
      <c r="F438" s="250">
        <v>6.1</v>
      </c>
      <c r="G438" s="251" t="e">
        <f>H438/1000</f>
        <v>#VALUE!</v>
      </c>
      <c r="H438" s="242" t="s">
        <v>9</v>
      </c>
      <c r="I438" s="242" t="s">
        <v>9</v>
      </c>
      <c r="J438" s="246" t="s">
        <v>8</v>
      </c>
      <c r="K438" s="242" t="s">
        <v>9</v>
      </c>
      <c r="L438" s="270"/>
    </row>
    <row r="439" spans="1:52" x14ac:dyDescent="0.2">
      <c r="A439" s="239">
        <v>503</v>
      </c>
      <c r="B439" s="197" t="s">
        <v>120</v>
      </c>
      <c r="C439" s="197" t="s">
        <v>112</v>
      </c>
      <c r="D439" s="246" t="s">
        <v>388</v>
      </c>
      <c r="E439" s="243" t="s">
        <v>644</v>
      </c>
      <c r="F439" s="250">
        <v>4.4000000000000004</v>
      </c>
      <c r="G439" s="251" t="e">
        <f>H439/1000</f>
        <v>#VALUE!</v>
      </c>
      <c r="H439" s="242" t="s">
        <v>9</v>
      </c>
      <c r="I439" s="242" t="s">
        <v>9</v>
      </c>
      <c r="J439" s="246" t="s">
        <v>8</v>
      </c>
      <c r="K439" s="242" t="s">
        <v>9</v>
      </c>
      <c r="L439" s="270"/>
    </row>
    <row r="440" spans="1:52" ht="30" x14ac:dyDescent="0.2">
      <c r="A440" s="239">
        <v>504</v>
      </c>
      <c r="B440" s="197" t="s">
        <v>120</v>
      </c>
      <c r="C440" s="197" t="s">
        <v>112</v>
      </c>
      <c r="D440" s="246" t="s">
        <v>345</v>
      </c>
      <c r="E440" s="243" t="s">
        <v>679</v>
      </c>
      <c r="F440" s="250">
        <v>71.75</v>
      </c>
      <c r="G440" s="250"/>
      <c r="H440" s="248">
        <v>2830</v>
      </c>
      <c r="I440" s="246" t="s">
        <v>656</v>
      </c>
      <c r="J440" s="242" t="s">
        <v>86</v>
      </c>
      <c r="K440" s="246" t="s">
        <v>836</v>
      </c>
      <c r="L440" s="271"/>
      <c r="M440" s="197">
        <v>59.65</v>
      </c>
      <c r="N440" s="197">
        <f>0.75+2.4+0.2+0.6</f>
        <v>3.95</v>
      </c>
      <c r="O440" s="197">
        <f>1.15+2.5+3.15</f>
        <v>6.8</v>
      </c>
      <c r="P440" s="197">
        <f>(0.325*2+2.25)*3</f>
        <v>8.6999999999999993</v>
      </c>
      <c r="Q440" s="197">
        <f>M440-N440-O440-P440-R440</f>
        <v>34.325000000000003</v>
      </c>
      <c r="R440" s="197">
        <f>0.455+4.88+0.54</f>
        <v>5.875</v>
      </c>
      <c r="T440" s="197">
        <f>1.1*2.1</f>
        <v>2.3100000000000005</v>
      </c>
      <c r="W440" s="197">
        <f>2.45*2.85*2+3.5*2.55+2.55*2.655</f>
        <v>29.660249999999998</v>
      </c>
      <c r="AL440" s="197">
        <f>N440*H440/1000-T440</f>
        <v>8.8684999999999992</v>
      </c>
      <c r="AM440" s="197">
        <f>O440*H440/1000-U440</f>
        <v>19.244</v>
      </c>
      <c r="AN440" s="197">
        <f>P440*H440/1000-V440</f>
        <v>24.620999999999995</v>
      </c>
      <c r="AP440" s="197">
        <f>Q440*H440/1000-W440</f>
        <v>67.47950000000003</v>
      </c>
      <c r="AZ440" s="197">
        <f>R440*H440/1000-X440</f>
        <v>16.626249999999999</v>
      </c>
    </row>
    <row r="441" spans="1:52" x14ac:dyDescent="0.2">
      <c r="A441" s="197">
        <v>505</v>
      </c>
      <c r="B441" s="197" t="s">
        <v>120</v>
      </c>
      <c r="C441" s="197" t="s">
        <v>112</v>
      </c>
      <c r="D441" s="265" t="s">
        <v>332</v>
      </c>
      <c r="E441" s="243" t="s">
        <v>679</v>
      </c>
      <c r="F441" s="250">
        <v>18.850000000000001</v>
      </c>
      <c r="G441" s="251">
        <f t="shared" ref="G441:G450" si="61">H441/1000</f>
        <v>2.83</v>
      </c>
      <c r="H441" s="248">
        <v>2830</v>
      </c>
      <c r="I441" s="246" t="s">
        <v>656</v>
      </c>
      <c r="J441" s="246" t="s">
        <v>73</v>
      </c>
      <c r="K441" s="246" t="s">
        <v>836</v>
      </c>
      <c r="L441" s="271"/>
    </row>
    <row r="442" spans="1:52" x14ac:dyDescent="0.2">
      <c r="A442" s="239">
        <v>506</v>
      </c>
      <c r="B442" s="197" t="s">
        <v>120</v>
      </c>
      <c r="C442" s="197" t="s">
        <v>112</v>
      </c>
      <c r="D442" s="265" t="s">
        <v>342</v>
      </c>
      <c r="E442" s="243" t="s">
        <v>679</v>
      </c>
      <c r="F442" s="250">
        <v>54.2</v>
      </c>
      <c r="G442" s="251">
        <f t="shared" si="61"/>
        <v>2.83</v>
      </c>
      <c r="H442" s="248">
        <v>2830</v>
      </c>
      <c r="I442" s="246" t="s">
        <v>656</v>
      </c>
      <c r="J442" s="246" t="s">
        <v>87</v>
      </c>
      <c r="K442" s="246" t="s">
        <v>836</v>
      </c>
      <c r="L442" s="271"/>
    </row>
    <row r="443" spans="1:52" x14ac:dyDescent="0.2">
      <c r="A443" s="239">
        <v>507</v>
      </c>
      <c r="B443" s="197" t="s">
        <v>120</v>
      </c>
      <c r="C443" s="197" t="s">
        <v>112</v>
      </c>
      <c r="D443" s="265" t="s">
        <v>336</v>
      </c>
      <c r="E443" s="243" t="s">
        <v>679</v>
      </c>
      <c r="F443" s="250">
        <v>38.299999999999997</v>
      </c>
      <c r="G443" s="251">
        <f t="shared" si="61"/>
        <v>2.83</v>
      </c>
      <c r="H443" s="248">
        <v>2830</v>
      </c>
      <c r="I443" s="246" t="s">
        <v>656</v>
      </c>
      <c r="J443" s="246" t="s">
        <v>88</v>
      </c>
      <c r="K443" s="246" t="s">
        <v>836</v>
      </c>
      <c r="L443" s="271"/>
    </row>
    <row r="444" spans="1:52" x14ac:dyDescent="0.2">
      <c r="A444" s="197">
        <v>508</v>
      </c>
      <c r="B444" s="197" t="s">
        <v>120</v>
      </c>
      <c r="C444" s="197" t="s">
        <v>112</v>
      </c>
      <c r="D444" s="246" t="s">
        <v>447</v>
      </c>
      <c r="E444" s="243" t="s">
        <v>802</v>
      </c>
      <c r="F444" s="247">
        <v>4.75</v>
      </c>
      <c r="G444" s="251">
        <f t="shared" si="61"/>
        <v>2.4</v>
      </c>
      <c r="H444" s="248">
        <v>2400</v>
      </c>
      <c r="I444" s="246" t="s">
        <v>654</v>
      </c>
      <c r="J444" s="246" t="s">
        <v>60</v>
      </c>
      <c r="K444" s="246" t="s">
        <v>756</v>
      </c>
      <c r="L444" s="243"/>
      <c r="M444" s="197">
        <f>9.8</f>
        <v>9.8000000000000007</v>
      </c>
      <c r="N444" s="197">
        <f>1.5</f>
        <v>1.5</v>
      </c>
      <c r="O444" s="197">
        <f>M444-P444-N444</f>
        <v>5.25</v>
      </c>
      <c r="P444" s="197">
        <f>0.6+2.45</f>
        <v>3.0500000000000003</v>
      </c>
      <c r="AH444" s="197">
        <f>N444*G444-T444</f>
        <v>3.5999999999999996</v>
      </c>
      <c r="AP444" s="197">
        <f>O444*G444-U444</f>
        <v>12.6</v>
      </c>
      <c r="AR444" s="197">
        <f>P444*G444-V444</f>
        <v>7.32</v>
      </c>
    </row>
    <row r="445" spans="1:52" ht="30" x14ac:dyDescent="0.2">
      <c r="A445" s="239">
        <v>509</v>
      </c>
      <c r="B445" s="197" t="s">
        <v>120</v>
      </c>
      <c r="C445" s="197" t="s">
        <v>112</v>
      </c>
      <c r="D445" s="246" t="s">
        <v>424</v>
      </c>
      <c r="E445" s="243" t="s">
        <v>804</v>
      </c>
      <c r="F445" s="250">
        <v>4.45</v>
      </c>
      <c r="G445" s="251">
        <f t="shared" si="61"/>
        <v>2.4</v>
      </c>
      <c r="H445" s="248">
        <v>2400</v>
      </c>
      <c r="I445" s="246" t="s">
        <v>654</v>
      </c>
      <c r="J445" s="246" t="s">
        <v>70</v>
      </c>
      <c r="K445" s="246" t="s">
        <v>756</v>
      </c>
      <c r="L445" s="271"/>
      <c r="M445" s="197">
        <v>8.8000000000000007</v>
      </c>
      <c r="N445" s="197">
        <f>2.2</f>
        <v>2.2000000000000002</v>
      </c>
      <c r="O445" s="197">
        <f>M445-N445</f>
        <v>6.6000000000000005</v>
      </c>
      <c r="U445" s="197">
        <f>0.85*2.4</f>
        <v>2.04</v>
      </c>
      <c r="AP445" s="197">
        <f>N445*2.67-T445</f>
        <v>5.8740000000000006</v>
      </c>
      <c r="AR445" s="197">
        <f>O445*G445-U445</f>
        <v>13.8</v>
      </c>
    </row>
    <row r="446" spans="1:52" ht="30" x14ac:dyDescent="0.2">
      <c r="A446" s="239">
        <v>510</v>
      </c>
      <c r="B446" s="197" t="s">
        <v>120</v>
      </c>
      <c r="C446" s="197" t="s">
        <v>112</v>
      </c>
      <c r="D446" s="246" t="s">
        <v>379</v>
      </c>
      <c r="E446" s="243" t="s">
        <v>806</v>
      </c>
      <c r="F446" s="250">
        <v>6.8</v>
      </c>
      <c r="G446" s="251">
        <f t="shared" si="61"/>
        <v>2.4</v>
      </c>
      <c r="H446" s="248">
        <v>2400</v>
      </c>
      <c r="I446" s="246" t="s">
        <v>654</v>
      </c>
      <c r="J446" s="246" t="s">
        <v>34</v>
      </c>
      <c r="K446" s="246" t="s">
        <v>756</v>
      </c>
      <c r="L446" s="271"/>
      <c r="M446" s="197">
        <v>14</v>
      </c>
      <c r="N446" s="197">
        <f>M446</f>
        <v>14</v>
      </c>
      <c r="AP446" s="197">
        <f>N446*G446-T446</f>
        <v>33.6</v>
      </c>
    </row>
    <row r="447" spans="1:52" ht="30" x14ac:dyDescent="0.2">
      <c r="A447" s="197">
        <v>511</v>
      </c>
      <c r="B447" s="197" t="s">
        <v>120</v>
      </c>
      <c r="C447" s="197" t="s">
        <v>112</v>
      </c>
      <c r="D447" s="246" t="s">
        <v>451</v>
      </c>
      <c r="E447" s="243" t="s">
        <v>855</v>
      </c>
      <c r="F447" s="250">
        <v>8.15</v>
      </c>
      <c r="G447" s="251">
        <f t="shared" si="61"/>
        <v>2.4</v>
      </c>
      <c r="H447" s="248">
        <v>2400</v>
      </c>
      <c r="I447" s="246" t="s">
        <v>656</v>
      </c>
      <c r="J447" s="246" t="s">
        <v>89</v>
      </c>
      <c r="K447" s="246" t="s">
        <v>756</v>
      </c>
      <c r="L447" s="271"/>
      <c r="M447" s="197">
        <v>12.05</v>
      </c>
      <c r="N447" s="197">
        <f>0.2+0.8</f>
        <v>1</v>
      </c>
      <c r="O447" s="197">
        <f>M447-P447-N447</f>
        <v>7.3000000000000007</v>
      </c>
      <c r="P447" s="197">
        <f>0.6*2+2.55</f>
        <v>3.75</v>
      </c>
      <c r="U447" s="197">
        <f>1.8*2.4</f>
        <v>4.32</v>
      </c>
      <c r="AM447" s="197">
        <f>N447*G447-T447</f>
        <v>2.4</v>
      </c>
      <c r="AP447" s="197">
        <f>O447*G447-U447</f>
        <v>13.2</v>
      </c>
      <c r="AR447" s="197">
        <f>P447*G447-V447</f>
        <v>9</v>
      </c>
    </row>
    <row r="448" spans="1:52" x14ac:dyDescent="0.2">
      <c r="A448" s="239">
        <v>512</v>
      </c>
      <c r="B448" s="197" t="s">
        <v>120</v>
      </c>
      <c r="C448" s="197" t="s">
        <v>112</v>
      </c>
      <c r="D448" s="265" t="s">
        <v>397</v>
      </c>
      <c r="E448" s="243" t="s">
        <v>843</v>
      </c>
      <c r="F448" s="250">
        <v>8.15</v>
      </c>
      <c r="G448" s="251">
        <f t="shared" si="61"/>
        <v>2.4</v>
      </c>
      <c r="H448" s="248">
        <v>2400</v>
      </c>
      <c r="I448" s="246" t="s">
        <v>656</v>
      </c>
      <c r="J448" s="246" t="s">
        <v>36</v>
      </c>
      <c r="K448" s="246" t="s">
        <v>756</v>
      </c>
      <c r="L448" s="271"/>
      <c r="AM448" s="197">
        <f>N448*G448-T448</f>
        <v>0</v>
      </c>
      <c r="AP448" s="197">
        <f>O448*G448-U448</f>
        <v>0</v>
      </c>
    </row>
    <row r="449" spans="1:52" x14ac:dyDescent="0.2">
      <c r="A449" s="239">
        <v>513</v>
      </c>
      <c r="B449" s="197" t="s">
        <v>120</v>
      </c>
      <c r="C449" s="197" t="s">
        <v>112</v>
      </c>
      <c r="D449" s="265" t="s">
        <v>416</v>
      </c>
      <c r="E449" s="243" t="s">
        <v>845</v>
      </c>
      <c r="F449" s="250">
        <v>17.399999999999999</v>
      </c>
      <c r="G449" s="251">
        <f t="shared" si="61"/>
        <v>2.4</v>
      </c>
      <c r="H449" s="248">
        <v>2400</v>
      </c>
      <c r="I449" s="246" t="s">
        <v>656</v>
      </c>
      <c r="J449" s="246" t="s">
        <v>90</v>
      </c>
      <c r="K449" s="246" t="s">
        <v>763</v>
      </c>
      <c r="L449" s="271"/>
      <c r="AM449" s="197">
        <f>N449*G449-T449</f>
        <v>0</v>
      </c>
      <c r="AP449" s="197">
        <f>O449*G449-U449</f>
        <v>0</v>
      </c>
    </row>
    <row r="450" spans="1:52" ht="60" x14ac:dyDescent="0.2">
      <c r="A450" s="197">
        <v>514</v>
      </c>
      <c r="B450" s="197" t="s">
        <v>120</v>
      </c>
      <c r="C450" s="197" t="s">
        <v>112</v>
      </c>
      <c r="D450" s="265" t="s">
        <v>484</v>
      </c>
      <c r="E450" s="243" t="s">
        <v>847</v>
      </c>
      <c r="F450" s="250">
        <v>71.400000000000006</v>
      </c>
      <c r="G450" s="251">
        <f t="shared" si="61"/>
        <v>2.83</v>
      </c>
      <c r="H450" s="248">
        <v>2830</v>
      </c>
      <c r="I450" s="246" t="s">
        <v>656</v>
      </c>
      <c r="J450" s="246" t="s">
        <v>316</v>
      </c>
      <c r="K450" s="246" t="s">
        <v>836</v>
      </c>
      <c r="L450" s="271"/>
      <c r="M450" s="197">
        <f>99.7+1.26*5-9.45-6.5</f>
        <v>90.05</v>
      </c>
      <c r="N450" s="197">
        <f>1.6+1.26*5+0.2+0.6</f>
        <v>8.6999999999999993</v>
      </c>
      <c r="O450" s="197">
        <f>(0.325*2+2.25)*6</f>
        <v>17.399999999999999</v>
      </c>
      <c r="P450" s="197">
        <f>M450-R450-O450-N450-Q450</f>
        <v>53.739999999999981</v>
      </c>
      <c r="Q450" s="197">
        <f>3.2</f>
        <v>3.2</v>
      </c>
      <c r="R450" s="197">
        <f>0.45+6.56</f>
        <v>7.01</v>
      </c>
      <c r="V450" s="197">
        <f>2.45*2.85+2.45*2.85</f>
        <v>13.965000000000002</v>
      </c>
      <c r="AM450" s="197">
        <f>N450*G450-T450</f>
        <v>24.620999999999999</v>
      </c>
      <c r="AN450" s="197">
        <f>O450*G450-U450</f>
        <v>49.241999999999997</v>
      </c>
      <c r="AP450" s="197">
        <f>P450*G450-V450</f>
        <v>138.11919999999995</v>
      </c>
      <c r="AQ450" s="197">
        <f>Q450*G450-W450</f>
        <v>9.0560000000000009</v>
      </c>
      <c r="AZ450" s="197">
        <f>R450*G450-X450</f>
        <v>19.8383</v>
      </c>
    </row>
    <row r="451" spans="1:52" x14ac:dyDescent="0.2">
      <c r="A451" s="239">
        <v>515</v>
      </c>
      <c r="B451" s="197" t="s">
        <v>120</v>
      </c>
      <c r="C451" s="197" t="s">
        <v>112</v>
      </c>
      <c r="D451" s="246" t="s">
        <v>368</v>
      </c>
      <c r="E451" s="243" t="s">
        <v>1284</v>
      </c>
      <c r="F451" s="244"/>
      <c r="G451" s="244"/>
      <c r="H451" s="242"/>
      <c r="I451" s="242"/>
      <c r="J451" s="242"/>
      <c r="K451" s="242"/>
      <c r="L451" s="270"/>
    </row>
    <row r="452" spans="1:52" x14ac:dyDescent="0.2">
      <c r="A452" s="239">
        <v>516</v>
      </c>
      <c r="B452" s="197" t="s">
        <v>120</v>
      </c>
      <c r="C452" s="197" t="s">
        <v>112</v>
      </c>
      <c r="D452" s="246" t="s">
        <v>369</v>
      </c>
      <c r="E452" s="243" t="s">
        <v>1284</v>
      </c>
      <c r="F452" s="244"/>
      <c r="G452" s="244"/>
      <c r="H452" s="242"/>
      <c r="I452" s="242"/>
      <c r="J452" s="242"/>
      <c r="K452" s="242"/>
      <c r="L452" s="270"/>
    </row>
    <row r="453" spans="1:52" ht="30" x14ac:dyDescent="0.2">
      <c r="A453" s="197">
        <v>517</v>
      </c>
      <c r="B453" s="197" t="s">
        <v>120</v>
      </c>
      <c r="C453" s="197" t="s">
        <v>112</v>
      </c>
      <c r="D453" s="246" t="s">
        <v>791</v>
      </c>
      <c r="E453" s="243" t="s">
        <v>765</v>
      </c>
      <c r="F453" s="250">
        <v>20.8</v>
      </c>
      <c r="G453" s="251">
        <f>H453/1000</f>
        <v>2.67</v>
      </c>
      <c r="H453" s="248">
        <v>2670</v>
      </c>
      <c r="I453" s="246" t="s">
        <v>766</v>
      </c>
      <c r="J453" s="246" t="s">
        <v>91</v>
      </c>
      <c r="K453" s="246" t="s">
        <v>767</v>
      </c>
      <c r="L453" s="271"/>
      <c r="M453" s="197">
        <v>20.399999999999999</v>
      </c>
      <c r="N453" s="197">
        <f>3.5+0.42*2+3.3</f>
        <v>7.64</v>
      </c>
      <c r="O453" s="197">
        <v>5.8250000000000002</v>
      </c>
      <c r="P453" s="197">
        <f>M453-N453-O453</f>
        <v>6.9349999999999978</v>
      </c>
      <c r="T453" s="197">
        <f>3.3*2.55</f>
        <v>8.4149999999999991</v>
      </c>
      <c r="AP453" s="197">
        <f>N453*G453-T453</f>
        <v>11.983799999999999</v>
      </c>
      <c r="AQ453" s="197">
        <f>O453*G453-U453</f>
        <v>15.55275</v>
      </c>
      <c r="AT453" s="197">
        <f>P453*G453-V453</f>
        <v>18.516449999999995</v>
      </c>
    </row>
    <row r="454" spans="1:52" x14ac:dyDescent="0.2">
      <c r="A454" s="239">
        <v>518</v>
      </c>
      <c r="B454" s="197" t="s">
        <v>120</v>
      </c>
      <c r="C454" s="197" t="s">
        <v>112</v>
      </c>
      <c r="D454" s="246" t="s">
        <v>407</v>
      </c>
      <c r="E454" s="243" t="s">
        <v>769</v>
      </c>
      <c r="F454" s="250">
        <v>2.5</v>
      </c>
      <c r="G454" s="251">
        <f>H454/1000</f>
        <v>2.4</v>
      </c>
      <c r="H454" s="248">
        <v>2400</v>
      </c>
      <c r="I454" s="246" t="s">
        <v>766</v>
      </c>
      <c r="J454" s="246" t="s">
        <v>46</v>
      </c>
      <c r="K454" s="246" t="s">
        <v>763</v>
      </c>
      <c r="L454" s="271"/>
      <c r="M454" s="197">
        <f>O454+N454</f>
        <v>3.55</v>
      </c>
      <c r="N454" s="197">
        <v>2.2999999999999998</v>
      </c>
      <c r="O454" s="197">
        <f>0.35*2+0.55</f>
        <v>1.25</v>
      </c>
      <c r="AP454" s="197">
        <f>N454*G454-T454</f>
        <v>5.52</v>
      </c>
      <c r="AQ454" s="197">
        <f>O454*G454-U454</f>
        <v>3</v>
      </c>
    </row>
    <row r="455" spans="1:52" x14ac:dyDescent="0.2">
      <c r="A455" s="239">
        <v>519</v>
      </c>
      <c r="B455" s="197" t="s">
        <v>120</v>
      </c>
      <c r="C455" s="197" t="s">
        <v>112</v>
      </c>
      <c r="D455" s="246" t="s">
        <v>473</v>
      </c>
      <c r="E455" s="243" t="s">
        <v>771</v>
      </c>
      <c r="F455" s="250">
        <v>2.15</v>
      </c>
      <c r="G455" s="251">
        <f>H455/1000</f>
        <v>2.4</v>
      </c>
      <c r="H455" s="248">
        <v>2400</v>
      </c>
      <c r="I455" s="246" t="s">
        <v>766</v>
      </c>
      <c r="J455" s="246" t="s">
        <v>46</v>
      </c>
      <c r="K455" s="246" t="s">
        <v>756</v>
      </c>
      <c r="L455" s="271"/>
      <c r="M455" s="197">
        <f>6.45-1.5</f>
        <v>4.95</v>
      </c>
      <c r="N455" s="197">
        <f>1.155+0.6</f>
        <v>1.7549999999999999</v>
      </c>
      <c r="O455" s="197">
        <f>M455-N455</f>
        <v>3.1950000000000003</v>
      </c>
      <c r="AP455" s="197">
        <f>N455*G455-T455</f>
        <v>4.2119999999999997</v>
      </c>
      <c r="AQ455" s="197">
        <f>O455*G455-U455</f>
        <v>7.6680000000000001</v>
      </c>
    </row>
    <row r="456" spans="1:52" x14ac:dyDescent="0.2">
      <c r="A456" s="197">
        <v>520</v>
      </c>
      <c r="B456" s="197" t="s">
        <v>120</v>
      </c>
      <c r="C456" s="197" t="s">
        <v>112</v>
      </c>
      <c r="D456" s="246" t="s">
        <v>910</v>
      </c>
      <c r="E456" s="243" t="s">
        <v>911</v>
      </c>
      <c r="F456" s="250">
        <v>9.25</v>
      </c>
      <c r="G456" s="251">
        <f>H456/1000</f>
        <v>2.67</v>
      </c>
      <c r="H456" s="248">
        <v>2670</v>
      </c>
      <c r="I456" s="246" t="s">
        <v>656</v>
      </c>
      <c r="J456" s="246" t="s">
        <v>46</v>
      </c>
      <c r="K456" s="246" t="s">
        <v>763</v>
      </c>
      <c r="L456" s="271"/>
      <c r="M456" s="197">
        <f>4.2*2+2.2*2</f>
        <v>12.8</v>
      </c>
      <c r="N456" s="197">
        <f>M456-O456</f>
        <v>11</v>
      </c>
      <c r="O456" s="197">
        <v>1.8</v>
      </c>
      <c r="T456" s="197">
        <f>2.2*2.55</f>
        <v>5.61</v>
      </c>
      <c r="AP456" s="197">
        <f>N456*G456-T456</f>
        <v>23.759999999999998</v>
      </c>
      <c r="AQ456" s="197">
        <f>O456*G456-U456</f>
        <v>4.806</v>
      </c>
    </row>
    <row r="457" spans="1:52" x14ac:dyDescent="0.2">
      <c r="A457" s="239">
        <v>521</v>
      </c>
      <c r="B457" s="197" t="s">
        <v>120</v>
      </c>
      <c r="C457" s="197" t="s">
        <v>112</v>
      </c>
      <c r="D457" s="246" t="s">
        <v>438</v>
      </c>
      <c r="E457" s="243" t="s">
        <v>1254</v>
      </c>
      <c r="F457" s="250">
        <v>21.5</v>
      </c>
      <c r="G457" s="250"/>
      <c r="H457" s="248">
        <v>2910</v>
      </c>
      <c r="I457" s="246" t="s">
        <v>1255</v>
      </c>
      <c r="J457" s="246" t="s">
        <v>92</v>
      </c>
      <c r="K457" s="246" t="s">
        <v>677</v>
      </c>
      <c r="L457" s="271"/>
    </row>
    <row r="458" spans="1:52" ht="45" x14ac:dyDescent="0.2">
      <c r="A458" s="239">
        <v>522</v>
      </c>
      <c r="B458" s="197" t="s">
        <v>120</v>
      </c>
      <c r="C458" s="197" t="s">
        <v>112</v>
      </c>
      <c r="D458" s="246" t="s">
        <v>463</v>
      </c>
      <c r="E458" s="243" t="s">
        <v>1242</v>
      </c>
      <c r="F458" s="250">
        <v>27</v>
      </c>
      <c r="G458" s="250"/>
      <c r="H458" s="248">
        <v>2910</v>
      </c>
      <c r="I458" s="269" t="s">
        <v>110</v>
      </c>
      <c r="J458" s="246" t="s">
        <v>92</v>
      </c>
      <c r="K458" s="246" t="s">
        <v>677</v>
      </c>
      <c r="L458" s="271" t="s">
        <v>107</v>
      </c>
    </row>
    <row r="459" spans="1:52" x14ac:dyDescent="0.2">
      <c r="A459" s="197">
        <v>523</v>
      </c>
      <c r="B459" s="197" t="s">
        <v>120</v>
      </c>
      <c r="C459" s="197" t="s">
        <v>112</v>
      </c>
      <c r="D459" s="246"/>
      <c r="E459" s="243" t="s">
        <v>1286</v>
      </c>
      <c r="F459" s="244"/>
      <c r="G459" s="244"/>
      <c r="H459" s="242"/>
      <c r="I459" s="242"/>
      <c r="J459" s="242"/>
      <c r="K459" s="242"/>
      <c r="L459" s="270"/>
    </row>
    <row r="460" spans="1:52" ht="30" x14ac:dyDescent="0.2">
      <c r="A460" s="239">
        <v>524</v>
      </c>
      <c r="B460" s="197" t="s">
        <v>120</v>
      </c>
      <c r="C460" s="197" t="s">
        <v>112</v>
      </c>
      <c r="D460" s="246" t="s">
        <v>1420</v>
      </c>
      <c r="E460" s="243" t="s">
        <v>1344</v>
      </c>
      <c r="F460" s="250">
        <v>41.7</v>
      </c>
      <c r="G460" s="251" t="e">
        <f t="shared" ref="G460:G468" si="62">H460/1000</f>
        <v>#VALUE!</v>
      </c>
      <c r="H460" s="246" t="s">
        <v>761</v>
      </c>
      <c r="I460" s="246" t="s">
        <v>1421</v>
      </c>
      <c r="J460" s="246" t="s">
        <v>46</v>
      </c>
      <c r="K460" s="246" t="s">
        <v>1422</v>
      </c>
      <c r="L460" s="271"/>
      <c r="M460" s="197">
        <f>14.9*2+9.15*2+9.2-2.1*2</f>
        <v>53.099999999999994</v>
      </c>
      <c r="N460" s="197">
        <f t="shared" ref="N460:N468" si="63">M460-O460-P460</f>
        <v>43.899999999999991</v>
      </c>
      <c r="O460" s="197">
        <v>9.1999999999999993</v>
      </c>
      <c r="T460" s="197">
        <f t="shared" ref="T460:T468" si="64">(3.26+0.19+3.26)*2.55</f>
        <v>17.110499999999995</v>
      </c>
      <c r="U460" s="197">
        <f t="shared" ref="U460:U468" si="65">1.05*2.4*2</f>
        <v>5.04</v>
      </c>
      <c r="AP460" s="197">
        <f t="shared" ref="AP460:AP468" si="66">N460*2.67-T460</f>
        <v>100.10249999999999</v>
      </c>
      <c r="AQ460" s="197">
        <f t="shared" ref="AQ460:AQ468" si="67">O460*2.4-U460</f>
        <v>17.04</v>
      </c>
    </row>
    <row r="461" spans="1:52" ht="30" x14ac:dyDescent="0.2">
      <c r="A461" s="239">
        <v>525</v>
      </c>
      <c r="B461" s="197" t="s">
        <v>120</v>
      </c>
      <c r="C461" s="197" t="s">
        <v>112</v>
      </c>
      <c r="D461" s="246" t="s">
        <v>1423</v>
      </c>
      <c r="E461" s="243" t="s">
        <v>1344</v>
      </c>
      <c r="F461" s="250">
        <v>41.7</v>
      </c>
      <c r="G461" s="251" t="e">
        <f t="shared" si="62"/>
        <v>#VALUE!</v>
      </c>
      <c r="H461" s="246" t="s">
        <v>761</v>
      </c>
      <c r="I461" s="246" t="s">
        <v>1421</v>
      </c>
      <c r="J461" s="246" t="s">
        <v>317</v>
      </c>
      <c r="K461" s="246" t="s">
        <v>1349</v>
      </c>
      <c r="L461" s="243"/>
      <c r="M461" s="197">
        <f>14.9*2+9.25*2+9.2-2.1*2</f>
        <v>53.3</v>
      </c>
      <c r="N461" s="197">
        <f t="shared" si="63"/>
        <v>37.799999999999997</v>
      </c>
      <c r="O461" s="197">
        <v>9.1999999999999993</v>
      </c>
      <c r="P461" s="197">
        <v>6.3</v>
      </c>
      <c r="T461" s="197">
        <f t="shared" si="64"/>
        <v>17.110499999999995</v>
      </c>
      <c r="U461" s="197">
        <f t="shared" si="65"/>
        <v>5.04</v>
      </c>
      <c r="AP461" s="197">
        <f t="shared" si="66"/>
        <v>83.815499999999986</v>
      </c>
      <c r="AQ461" s="197">
        <f t="shared" si="67"/>
        <v>17.04</v>
      </c>
      <c r="AY461" s="197">
        <f>P461*2.67-V461</f>
        <v>16.820999999999998</v>
      </c>
    </row>
    <row r="462" spans="1:52" ht="30" x14ac:dyDescent="0.2">
      <c r="A462" s="197">
        <v>526</v>
      </c>
      <c r="B462" s="197" t="s">
        <v>120</v>
      </c>
      <c r="C462" s="197" t="s">
        <v>112</v>
      </c>
      <c r="D462" s="246" t="s">
        <v>1424</v>
      </c>
      <c r="E462" s="243" t="s">
        <v>1344</v>
      </c>
      <c r="F462" s="250">
        <v>41.7</v>
      </c>
      <c r="G462" s="251" t="e">
        <f t="shared" si="62"/>
        <v>#VALUE!</v>
      </c>
      <c r="H462" s="246" t="s">
        <v>761</v>
      </c>
      <c r="I462" s="246" t="s">
        <v>1421</v>
      </c>
      <c r="J462" s="246" t="s">
        <v>46</v>
      </c>
      <c r="K462" s="246" t="s">
        <v>1364</v>
      </c>
      <c r="L462" s="271"/>
      <c r="M462" s="197">
        <f>14.9*2+9.15*2+9.2-2.1*2</f>
        <v>53.099999999999994</v>
      </c>
      <c r="N462" s="197">
        <f t="shared" si="63"/>
        <v>43.899999999999991</v>
      </c>
      <c r="O462" s="197">
        <v>9.1999999999999993</v>
      </c>
      <c r="T462" s="197">
        <f t="shared" si="64"/>
        <v>17.110499999999995</v>
      </c>
      <c r="U462" s="197">
        <f t="shared" si="65"/>
        <v>5.04</v>
      </c>
      <c r="AP462" s="197">
        <f t="shared" si="66"/>
        <v>100.10249999999999</v>
      </c>
      <c r="AQ462" s="197">
        <f t="shared" si="67"/>
        <v>17.04</v>
      </c>
    </row>
    <row r="463" spans="1:52" ht="30" x14ac:dyDescent="0.2">
      <c r="A463" s="239">
        <v>527</v>
      </c>
      <c r="B463" s="197" t="s">
        <v>120</v>
      </c>
      <c r="C463" s="197" t="s">
        <v>112</v>
      </c>
      <c r="D463" s="246" t="s">
        <v>1425</v>
      </c>
      <c r="E463" s="243" t="s">
        <v>1344</v>
      </c>
      <c r="F463" s="250">
        <v>41.7</v>
      </c>
      <c r="G463" s="251" t="e">
        <f t="shared" si="62"/>
        <v>#VALUE!</v>
      </c>
      <c r="H463" s="246" t="s">
        <v>761</v>
      </c>
      <c r="I463" s="246" t="s">
        <v>1421</v>
      </c>
      <c r="J463" s="246" t="s">
        <v>46</v>
      </c>
      <c r="K463" s="246" t="s">
        <v>1352</v>
      </c>
      <c r="L463" s="271"/>
      <c r="M463" s="197">
        <f>14.9*2+9.15*2+9.2-2.1*2</f>
        <v>53.099999999999994</v>
      </c>
      <c r="N463" s="197">
        <f t="shared" si="63"/>
        <v>43.899999999999991</v>
      </c>
      <c r="O463" s="197">
        <v>9.1999999999999993</v>
      </c>
      <c r="T463" s="197">
        <f t="shared" si="64"/>
        <v>17.110499999999995</v>
      </c>
      <c r="U463" s="197">
        <f t="shared" si="65"/>
        <v>5.04</v>
      </c>
      <c r="AP463" s="197">
        <f t="shared" si="66"/>
        <v>100.10249999999999</v>
      </c>
      <c r="AQ463" s="197">
        <f t="shared" si="67"/>
        <v>17.04</v>
      </c>
    </row>
    <row r="464" spans="1:52" ht="30" x14ac:dyDescent="0.2">
      <c r="A464" s="239">
        <v>528</v>
      </c>
      <c r="B464" s="197" t="s">
        <v>120</v>
      </c>
      <c r="C464" s="197" t="s">
        <v>112</v>
      </c>
      <c r="D464" s="246" t="s">
        <v>1426</v>
      </c>
      <c r="E464" s="243" t="s">
        <v>1344</v>
      </c>
      <c r="F464" s="250">
        <v>41.7</v>
      </c>
      <c r="G464" s="251" t="e">
        <f t="shared" si="62"/>
        <v>#VALUE!</v>
      </c>
      <c r="H464" s="246" t="s">
        <v>761</v>
      </c>
      <c r="I464" s="246" t="s">
        <v>1421</v>
      </c>
      <c r="J464" s="246" t="s">
        <v>317</v>
      </c>
      <c r="K464" s="246" t="s">
        <v>1349</v>
      </c>
      <c r="L464" s="243"/>
      <c r="M464" s="197">
        <f>14.9*2+9.25*2+9.2-2.1*2</f>
        <v>53.3</v>
      </c>
      <c r="N464" s="197">
        <f t="shared" si="63"/>
        <v>37.799999999999997</v>
      </c>
      <c r="O464" s="197">
        <v>9.1999999999999993</v>
      </c>
      <c r="P464" s="197">
        <v>6.3</v>
      </c>
      <c r="T464" s="197">
        <f t="shared" si="64"/>
        <v>17.110499999999995</v>
      </c>
      <c r="U464" s="197">
        <f t="shared" si="65"/>
        <v>5.04</v>
      </c>
      <c r="AP464" s="197">
        <f t="shared" si="66"/>
        <v>83.815499999999986</v>
      </c>
      <c r="AQ464" s="197">
        <f t="shared" si="67"/>
        <v>17.04</v>
      </c>
      <c r="AY464" s="197">
        <f>P464*2.67-V464</f>
        <v>16.820999999999998</v>
      </c>
    </row>
    <row r="465" spans="1:52" ht="30" x14ac:dyDescent="0.2">
      <c r="A465" s="197">
        <v>529</v>
      </c>
      <c r="B465" s="197" t="s">
        <v>120</v>
      </c>
      <c r="C465" s="197" t="s">
        <v>112</v>
      </c>
      <c r="D465" s="246" t="s">
        <v>1427</v>
      </c>
      <c r="E465" s="243" t="s">
        <v>1344</v>
      </c>
      <c r="F465" s="250">
        <v>41.7</v>
      </c>
      <c r="G465" s="251" t="e">
        <f t="shared" si="62"/>
        <v>#VALUE!</v>
      </c>
      <c r="H465" s="246" t="s">
        <v>761</v>
      </c>
      <c r="I465" s="246" t="s">
        <v>1421</v>
      </c>
      <c r="J465" s="246" t="s">
        <v>46</v>
      </c>
      <c r="K465" s="246" t="s">
        <v>1428</v>
      </c>
      <c r="L465" s="271"/>
      <c r="M465" s="197">
        <f>14.9*2+9.15*2+9.2-2.1*2</f>
        <v>53.099999999999994</v>
      </c>
      <c r="N465" s="197">
        <f t="shared" si="63"/>
        <v>43.899999999999991</v>
      </c>
      <c r="O465" s="197">
        <v>9.1999999999999993</v>
      </c>
      <c r="T465" s="197">
        <f t="shared" si="64"/>
        <v>17.110499999999995</v>
      </c>
      <c r="U465" s="197">
        <f t="shared" si="65"/>
        <v>5.04</v>
      </c>
      <c r="AP465" s="197">
        <f t="shared" si="66"/>
        <v>100.10249999999999</v>
      </c>
      <c r="AQ465" s="197">
        <f t="shared" si="67"/>
        <v>17.04</v>
      </c>
    </row>
    <row r="466" spans="1:52" ht="30" x14ac:dyDescent="0.2">
      <c r="A466" s="239">
        <v>530</v>
      </c>
      <c r="B466" s="197" t="s">
        <v>120</v>
      </c>
      <c r="C466" s="197" t="s">
        <v>112</v>
      </c>
      <c r="D466" s="246" t="s">
        <v>1429</v>
      </c>
      <c r="E466" s="243" t="s">
        <v>1344</v>
      </c>
      <c r="F466" s="250">
        <v>41.7</v>
      </c>
      <c r="G466" s="251" t="e">
        <f t="shared" si="62"/>
        <v>#VALUE!</v>
      </c>
      <c r="H466" s="246" t="s">
        <v>761</v>
      </c>
      <c r="I466" s="246" t="s">
        <v>1421</v>
      </c>
      <c r="J466" s="246" t="s">
        <v>317</v>
      </c>
      <c r="K466" s="246" t="s">
        <v>1349</v>
      </c>
      <c r="L466" s="243"/>
      <c r="M466" s="197">
        <f>14.9*2+9.25*2+9.2-2.1*2</f>
        <v>53.3</v>
      </c>
      <c r="N466" s="197">
        <f t="shared" si="63"/>
        <v>37.799999999999997</v>
      </c>
      <c r="O466" s="197">
        <v>9.1999999999999993</v>
      </c>
      <c r="P466" s="197">
        <v>6.3</v>
      </c>
      <c r="T466" s="197">
        <f t="shared" si="64"/>
        <v>17.110499999999995</v>
      </c>
      <c r="U466" s="197">
        <f t="shared" si="65"/>
        <v>5.04</v>
      </c>
      <c r="AP466" s="197">
        <f t="shared" si="66"/>
        <v>83.815499999999986</v>
      </c>
      <c r="AQ466" s="197">
        <f t="shared" si="67"/>
        <v>17.04</v>
      </c>
      <c r="AY466" s="197">
        <f>P466*2.67-V466</f>
        <v>16.820999999999998</v>
      </c>
    </row>
    <row r="467" spans="1:52" ht="30" x14ac:dyDescent="0.2">
      <c r="A467" s="239">
        <v>531</v>
      </c>
      <c r="B467" s="197" t="s">
        <v>120</v>
      </c>
      <c r="C467" s="197" t="s">
        <v>112</v>
      </c>
      <c r="D467" s="246" t="s">
        <v>1430</v>
      </c>
      <c r="E467" s="243" t="s">
        <v>1344</v>
      </c>
      <c r="F467" s="250">
        <v>41.7</v>
      </c>
      <c r="G467" s="251" t="e">
        <f t="shared" si="62"/>
        <v>#VALUE!</v>
      </c>
      <c r="H467" s="246" t="s">
        <v>761</v>
      </c>
      <c r="I467" s="246" t="s">
        <v>1421</v>
      </c>
      <c r="J467" s="246" t="s">
        <v>317</v>
      </c>
      <c r="K467" s="246" t="s">
        <v>1349</v>
      </c>
      <c r="L467" s="243"/>
      <c r="M467" s="197">
        <f>14.9*2+9.25*2+9.2-2.1*2</f>
        <v>53.3</v>
      </c>
      <c r="N467" s="197">
        <f t="shared" si="63"/>
        <v>37.799999999999997</v>
      </c>
      <c r="O467" s="197">
        <v>9.1999999999999993</v>
      </c>
      <c r="P467" s="197">
        <v>6.3</v>
      </c>
      <c r="T467" s="197">
        <f t="shared" si="64"/>
        <v>17.110499999999995</v>
      </c>
      <c r="U467" s="197">
        <f t="shared" si="65"/>
        <v>5.04</v>
      </c>
      <c r="AP467" s="197">
        <f t="shared" si="66"/>
        <v>83.815499999999986</v>
      </c>
      <c r="AQ467" s="197">
        <f t="shared" si="67"/>
        <v>17.04</v>
      </c>
      <c r="AY467" s="197">
        <f>P467*2.67-V467</f>
        <v>16.820999999999998</v>
      </c>
    </row>
    <row r="468" spans="1:52" ht="30" x14ac:dyDescent="0.2">
      <c r="A468" s="197">
        <v>532</v>
      </c>
      <c r="B468" s="197" t="s">
        <v>120</v>
      </c>
      <c r="C468" s="197" t="s">
        <v>112</v>
      </c>
      <c r="D468" s="246" t="s">
        <v>1431</v>
      </c>
      <c r="E468" s="243" t="s">
        <v>1344</v>
      </c>
      <c r="F468" s="250">
        <v>41.7</v>
      </c>
      <c r="G468" s="251" t="e">
        <f t="shared" si="62"/>
        <v>#VALUE!</v>
      </c>
      <c r="H468" s="246" t="s">
        <v>761</v>
      </c>
      <c r="I468" s="246" t="s">
        <v>1415</v>
      </c>
      <c r="J468" s="246" t="s">
        <v>317</v>
      </c>
      <c r="K468" s="246" t="s">
        <v>1349</v>
      </c>
      <c r="L468" s="243"/>
      <c r="M468" s="197">
        <f>14.9*2+9.25*2+9.2-2.1*2</f>
        <v>53.3</v>
      </c>
      <c r="N468" s="197">
        <f t="shared" si="63"/>
        <v>37.799999999999997</v>
      </c>
      <c r="O468" s="197">
        <v>9.1999999999999993</v>
      </c>
      <c r="P468" s="197">
        <v>6.3</v>
      </c>
      <c r="T468" s="197">
        <f t="shared" si="64"/>
        <v>17.110499999999995</v>
      </c>
      <c r="U468" s="197">
        <f t="shared" si="65"/>
        <v>5.04</v>
      </c>
      <c r="AP468" s="197">
        <f t="shared" si="66"/>
        <v>83.815499999999986</v>
      </c>
      <c r="AQ468" s="197">
        <f t="shared" si="67"/>
        <v>17.04</v>
      </c>
      <c r="AY468" s="197">
        <f>P468*2.67-V468</f>
        <v>16.820999999999998</v>
      </c>
    </row>
    <row r="469" spans="1:52" x14ac:dyDescent="0.2">
      <c r="A469" s="197">
        <v>538</v>
      </c>
      <c r="B469" s="197" t="s">
        <v>120</v>
      </c>
      <c r="C469" s="197" t="s">
        <v>113</v>
      </c>
      <c r="D469" s="246"/>
      <c r="E469" s="243" t="s">
        <v>1273</v>
      </c>
      <c r="F469" s="244"/>
      <c r="G469" s="244"/>
      <c r="H469" s="242"/>
      <c r="I469" s="242"/>
      <c r="J469" s="242"/>
      <c r="K469" s="242"/>
      <c r="L469" s="245"/>
    </row>
    <row r="470" spans="1:52" x14ac:dyDescent="0.2">
      <c r="A470" s="239">
        <v>539</v>
      </c>
      <c r="B470" s="197" t="s">
        <v>120</v>
      </c>
      <c r="C470" s="197" t="s">
        <v>113</v>
      </c>
      <c r="D470" s="246"/>
      <c r="E470" s="243" t="s">
        <v>1270</v>
      </c>
      <c r="F470" s="244"/>
      <c r="G470" s="244"/>
      <c r="H470" s="242"/>
      <c r="I470" s="242"/>
      <c r="J470" s="242"/>
      <c r="K470" s="242"/>
      <c r="L470" s="245"/>
    </row>
    <row r="471" spans="1:52" x14ac:dyDescent="0.2">
      <c r="A471" s="239">
        <v>540</v>
      </c>
      <c r="B471" s="197" t="s">
        <v>120</v>
      </c>
      <c r="C471" s="197" t="s">
        <v>113</v>
      </c>
      <c r="D471" s="246" t="s">
        <v>358</v>
      </c>
      <c r="E471" s="243" t="s">
        <v>673</v>
      </c>
      <c r="F471" s="247">
        <v>42.5</v>
      </c>
      <c r="G471" s="251">
        <f>H471/1000</f>
        <v>2.61</v>
      </c>
      <c r="H471" s="248">
        <v>2610</v>
      </c>
      <c r="I471" s="246" t="s">
        <v>1031</v>
      </c>
      <c r="J471" s="246" t="s">
        <v>85</v>
      </c>
      <c r="K471" s="246" t="s">
        <v>1032</v>
      </c>
      <c r="L471" s="243"/>
      <c r="M471" s="197">
        <f>31.5+10.2</f>
        <v>41.7</v>
      </c>
      <c r="N471" s="197">
        <f>M471-Q471-P471-O471</f>
        <v>32.825000000000003</v>
      </c>
      <c r="O471" s="197">
        <v>1.9</v>
      </c>
      <c r="P471" s="197">
        <f>0.815+0.15+1.31</f>
        <v>2.2749999999999999</v>
      </c>
      <c r="Q471" s="197">
        <f>4.4+0.15*2</f>
        <v>4.7</v>
      </c>
      <c r="T471" s="197">
        <f>4.65*2.55+4.1*2.55+2.55*2.655+1.1*2.1</f>
        <v>31.392749999999999</v>
      </c>
      <c r="AM471" s="197">
        <f>N471*G471-T471</f>
        <v>54.280500000000011</v>
      </c>
      <c r="AN471" s="197">
        <f>O471*G471-U471</f>
        <v>4.9589999999999996</v>
      </c>
      <c r="AO471" s="197">
        <f>P471*G471-V471</f>
        <v>5.9377499999999994</v>
      </c>
      <c r="AZ471" s="197">
        <f>Q471*G471-W471</f>
        <v>12.266999999999999</v>
      </c>
    </row>
    <row r="472" spans="1:52" x14ac:dyDescent="0.2">
      <c r="A472" s="197">
        <v>541</v>
      </c>
      <c r="B472" s="197" t="s">
        <v>120</v>
      </c>
      <c r="C472" s="197" t="s">
        <v>113</v>
      </c>
      <c r="D472" s="246" t="s">
        <v>664</v>
      </c>
      <c r="E472" s="243" t="s">
        <v>660</v>
      </c>
      <c r="F472" s="250">
        <v>6.15</v>
      </c>
      <c r="G472" s="251" t="e">
        <f>H472/1000</f>
        <v>#VALUE!</v>
      </c>
      <c r="H472" s="242" t="s">
        <v>9</v>
      </c>
      <c r="I472" s="242" t="s">
        <v>9</v>
      </c>
      <c r="J472" s="246" t="s">
        <v>8</v>
      </c>
      <c r="K472" s="242" t="s">
        <v>9</v>
      </c>
      <c r="L472" s="245"/>
    </row>
    <row r="473" spans="1:52" x14ac:dyDescent="0.2">
      <c r="A473" s="239">
        <v>542</v>
      </c>
      <c r="B473" s="197" t="s">
        <v>120</v>
      </c>
      <c r="C473" s="197" t="s">
        <v>113</v>
      </c>
      <c r="D473" s="246" t="s">
        <v>389</v>
      </c>
      <c r="E473" s="243" t="s">
        <v>644</v>
      </c>
      <c r="F473" s="250">
        <v>4.5</v>
      </c>
      <c r="G473" s="251" t="e">
        <f>H473/1000</f>
        <v>#VALUE!</v>
      </c>
      <c r="H473" s="242" t="s">
        <v>9</v>
      </c>
      <c r="I473" s="242" t="s">
        <v>9</v>
      </c>
      <c r="J473" s="246" t="s">
        <v>8</v>
      </c>
      <c r="K473" s="242" t="s">
        <v>9</v>
      </c>
      <c r="L473" s="245"/>
    </row>
    <row r="474" spans="1:52" x14ac:dyDescent="0.2">
      <c r="A474" s="239">
        <v>543</v>
      </c>
      <c r="B474" s="197" t="s">
        <v>120</v>
      </c>
      <c r="C474" s="197" t="s">
        <v>113</v>
      </c>
      <c r="D474" s="265" t="s">
        <v>326</v>
      </c>
      <c r="E474" s="243" t="s">
        <v>679</v>
      </c>
      <c r="F474" s="250">
        <v>50.2</v>
      </c>
      <c r="G474" s="250"/>
      <c r="H474" s="248">
        <v>2830</v>
      </c>
      <c r="I474" s="246" t="s">
        <v>656</v>
      </c>
      <c r="J474" s="242" t="s">
        <v>81</v>
      </c>
      <c r="K474" s="246" t="s">
        <v>836</v>
      </c>
      <c r="L474" s="243"/>
    </row>
    <row r="475" spans="1:52" x14ac:dyDescent="0.2">
      <c r="A475" s="197">
        <v>544</v>
      </c>
      <c r="B475" s="197" t="s">
        <v>120</v>
      </c>
      <c r="C475" s="197" t="s">
        <v>113</v>
      </c>
      <c r="D475" s="265" t="s">
        <v>323</v>
      </c>
      <c r="E475" s="243" t="s">
        <v>679</v>
      </c>
      <c r="F475" s="250">
        <v>35.5</v>
      </c>
      <c r="G475" s="251">
        <f t="shared" ref="G475:G484" si="68">H475/1000</f>
        <v>2.83</v>
      </c>
      <c r="H475" s="248">
        <v>2830</v>
      </c>
      <c r="I475" s="246" t="s">
        <v>656</v>
      </c>
      <c r="J475" s="246" t="s">
        <v>73</v>
      </c>
      <c r="K475" s="246" t="s">
        <v>836</v>
      </c>
      <c r="L475" s="243"/>
    </row>
    <row r="476" spans="1:52" x14ac:dyDescent="0.2">
      <c r="A476" s="239">
        <v>545</v>
      </c>
      <c r="B476" s="197" t="s">
        <v>120</v>
      </c>
      <c r="C476" s="197" t="s">
        <v>113</v>
      </c>
      <c r="D476" s="265" t="s">
        <v>320</v>
      </c>
      <c r="E476" s="243" t="s">
        <v>679</v>
      </c>
      <c r="F476" s="250">
        <v>18.5</v>
      </c>
      <c r="G476" s="251">
        <f t="shared" si="68"/>
        <v>2.83</v>
      </c>
      <c r="H476" s="248">
        <v>2830</v>
      </c>
      <c r="I476" s="246" t="s">
        <v>656</v>
      </c>
      <c r="J476" s="246" t="s">
        <v>95</v>
      </c>
      <c r="K476" s="246" t="s">
        <v>836</v>
      </c>
      <c r="L476" s="243"/>
    </row>
    <row r="477" spans="1:52" x14ac:dyDescent="0.2">
      <c r="A477" s="239">
        <v>546</v>
      </c>
      <c r="B477" s="197" t="s">
        <v>120</v>
      </c>
      <c r="C477" s="197" t="s">
        <v>113</v>
      </c>
      <c r="D477" s="246" t="s">
        <v>327</v>
      </c>
      <c r="E477" s="243" t="s">
        <v>679</v>
      </c>
      <c r="F477" s="250">
        <v>68</v>
      </c>
      <c r="G477" s="251">
        <f t="shared" si="68"/>
        <v>2.83</v>
      </c>
      <c r="H477" s="248">
        <v>2830</v>
      </c>
      <c r="I477" s="246" t="s">
        <v>656</v>
      </c>
      <c r="J477" s="246" t="s">
        <v>109</v>
      </c>
      <c r="K477" s="246" t="s">
        <v>836</v>
      </c>
      <c r="L477" s="243"/>
      <c r="M477" s="197">
        <v>62.4</v>
      </c>
      <c r="N477" s="197">
        <v>2.4</v>
      </c>
      <c r="O477" s="197">
        <f>(0.325*2+2.25)*3</f>
        <v>8.6999999999999993</v>
      </c>
      <c r="P477" s="197">
        <f>M477-N477-O477-Q477</f>
        <v>37.774999999999999</v>
      </c>
      <c r="Q477" s="197">
        <f>6.5+0.425+6.6</f>
        <v>13.524999999999999</v>
      </c>
      <c r="T477" s="197">
        <f>1.1*2.1</f>
        <v>2.3100000000000005</v>
      </c>
      <c r="V477" s="197">
        <f>2.4*2.55+2.45*2.85*2+2.555*2.55</f>
        <v>26.600250000000003</v>
      </c>
      <c r="AL477" s="197">
        <f>N477*G477-T477</f>
        <v>4.4819999999999993</v>
      </c>
      <c r="AN477" s="197">
        <f>O477*G477-U477</f>
        <v>24.620999999999999</v>
      </c>
      <c r="AO477" s="197">
        <f>P477*G477-V477</f>
        <v>80.302999999999997</v>
      </c>
      <c r="AZ477" s="197">
        <f>Q477*G477-W477</f>
        <v>38.275749999999995</v>
      </c>
    </row>
    <row r="478" spans="1:52" x14ac:dyDescent="0.2">
      <c r="A478" s="197">
        <v>547</v>
      </c>
      <c r="B478" s="197" t="s">
        <v>120</v>
      </c>
      <c r="C478" s="197" t="s">
        <v>113</v>
      </c>
      <c r="D478" s="246" t="s">
        <v>448</v>
      </c>
      <c r="E478" s="243" t="s">
        <v>802</v>
      </c>
      <c r="F478" s="250">
        <v>4.45</v>
      </c>
      <c r="G478" s="251">
        <f t="shared" si="68"/>
        <v>2.4</v>
      </c>
      <c r="H478" s="248">
        <v>2400</v>
      </c>
      <c r="I478" s="246" t="s">
        <v>654</v>
      </c>
      <c r="J478" s="246" t="s">
        <v>60</v>
      </c>
      <c r="K478" s="246" t="s">
        <v>756</v>
      </c>
      <c r="L478" s="243"/>
      <c r="M478" s="197">
        <f>9.8</f>
        <v>9.8000000000000007</v>
      </c>
      <c r="N478" s="197">
        <f>1.5</f>
        <v>1.5</v>
      </c>
      <c r="O478" s="197">
        <f>M478-P478-N478</f>
        <v>5.25</v>
      </c>
      <c r="P478" s="197">
        <f>0.6+2.45</f>
        <v>3.0500000000000003</v>
      </c>
      <c r="AH478" s="197">
        <f>N478*G478-T478</f>
        <v>3.5999999999999996</v>
      </c>
      <c r="AP478" s="197">
        <f>O478*G478-U478</f>
        <v>12.6</v>
      </c>
      <c r="AR478" s="197">
        <f>P478*G478-V478</f>
        <v>7.32</v>
      </c>
    </row>
    <row r="479" spans="1:52" ht="30" x14ac:dyDescent="0.2">
      <c r="A479" s="239">
        <v>548</v>
      </c>
      <c r="B479" s="197" t="s">
        <v>120</v>
      </c>
      <c r="C479" s="197" t="s">
        <v>113</v>
      </c>
      <c r="D479" s="246" t="s">
        <v>425</v>
      </c>
      <c r="E479" s="243" t="s">
        <v>804</v>
      </c>
      <c r="F479" s="250">
        <v>4.45</v>
      </c>
      <c r="G479" s="251">
        <f t="shared" si="68"/>
        <v>2.4</v>
      </c>
      <c r="H479" s="248">
        <v>2400</v>
      </c>
      <c r="I479" s="246" t="s">
        <v>654</v>
      </c>
      <c r="J479" s="246" t="s">
        <v>97</v>
      </c>
      <c r="K479" s="246" t="s">
        <v>756</v>
      </c>
      <c r="L479" s="243"/>
      <c r="M479" s="197">
        <v>9.4499999999999993</v>
      </c>
      <c r="N479" s="197">
        <f>0.6+0.2</f>
        <v>0.8</v>
      </c>
      <c r="O479" s="197">
        <f>1.15</f>
        <v>1.1499999999999999</v>
      </c>
      <c r="P479" s="197">
        <f>M479-O479-N479</f>
        <v>7.4999999999999991</v>
      </c>
      <c r="V479" s="197">
        <f>0.85*2.4</f>
        <v>2.04</v>
      </c>
      <c r="AL479" s="197">
        <f>N479*G479-T479</f>
        <v>1.92</v>
      </c>
      <c r="AP479" s="197">
        <f>O479*G479-U479</f>
        <v>2.76</v>
      </c>
      <c r="AR479" s="197">
        <f>P479*G479-V479</f>
        <v>15.959999999999997</v>
      </c>
    </row>
    <row r="480" spans="1:52" ht="30" x14ac:dyDescent="0.2">
      <c r="A480" s="239">
        <v>549</v>
      </c>
      <c r="B480" s="197" t="s">
        <v>120</v>
      </c>
      <c r="C480" s="197" t="s">
        <v>113</v>
      </c>
      <c r="D480" s="246" t="s">
        <v>380</v>
      </c>
      <c r="E480" s="243" t="s">
        <v>806</v>
      </c>
      <c r="F480" s="250">
        <v>8.15</v>
      </c>
      <c r="G480" s="251">
        <f t="shared" si="68"/>
        <v>2.4</v>
      </c>
      <c r="H480" s="248">
        <v>2400</v>
      </c>
      <c r="I480" s="246" t="s">
        <v>654</v>
      </c>
      <c r="J480" s="246" t="s">
        <v>34</v>
      </c>
      <c r="K480" s="246" t="s">
        <v>756</v>
      </c>
      <c r="L480" s="243"/>
      <c r="M480" s="197">
        <v>14.8</v>
      </c>
      <c r="N480" s="197">
        <f>M480</f>
        <v>14.8</v>
      </c>
      <c r="AP480" s="197">
        <f>N480*G480-T480</f>
        <v>35.520000000000003</v>
      </c>
    </row>
    <row r="481" spans="1:52" ht="30" x14ac:dyDescent="0.2">
      <c r="A481" s="197">
        <v>550</v>
      </c>
      <c r="B481" s="197" t="s">
        <v>120</v>
      </c>
      <c r="C481" s="197" t="s">
        <v>113</v>
      </c>
      <c r="D481" s="246" t="s">
        <v>452</v>
      </c>
      <c r="E481" s="243" t="s">
        <v>855</v>
      </c>
      <c r="F481" s="250">
        <v>8.15</v>
      </c>
      <c r="G481" s="251">
        <f t="shared" si="68"/>
        <v>2.4</v>
      </c>
      <c r="H481" s="248">
        <v>2400</v>
      </c>
      <c r="I481" s="246" t="s">
        <v>656</v>
      </c>
      <c r="J481" s="246" t="s">
        <v>89</v>
      </c>
      <c r="K481" s="246" t="s">
        <v>756</v>
      </c>
      <c r="L481" s="243"/>
      <c r="M481" s="197">
        <v>12.05</v>
      </c>
      <c r="N481" s="197">
        <f>0.2+0.8</f>
        <v>1</v>
      </c>
      <c r="O481" s="197">
        <f>M481-P481-N481</f>
        <v>7.3000000000000007</v>
      </c>
      <c r="P481" s="197">
        <f>0.6*2+2.55</f>
        <v>3.75</v>
      </c>
      <c r="U481" s="197">
        <f>1.8*2.4</f>
        <v>4.32</v>
      </c>
      <c r="AM481" s="197">
        <f>N481*G481-T481</f>
        <v>2.4</v>
      </c>
      <c r="AP481" s="197">
        <f>O481*G481-U481</f>
        <v>13.2</v>
      </c>
      <c r="AR481" s="197">
        <f>P481*G481-V481</f>
        <v>9</v>
      </c>
    </row>
    <row r="482" spans="1:52" x14ac:dyDescent="0.2">
      <c r="A482" s="239">
        <v>551</v>
      </c>
      <c r="B482" s="197" t="s">
        <v>120</v>
      </c>
      <c r="C482" s="197" t="s">
        <v>113</v>
      </c>
      <c r="D482" s="265" t="s">
        <v>328</v>
      </c>
      <c r="E482" s="243" t="s">
        <v>843</v>
      </c>
      <c r="F482" s="250">
        <v>8.8000000000000007</v>
      </c>
      <c r="G482" s="251">
        <f t="shared" si="68"/>
        <v>2.4</v>
      </c>
      <c r="H482" s="248">
        <v>2400</v>
      </c>
      <c r="I482" s="246" t="s">
        <v>656</v>
      </c>
      <c r="J482" s="246" t="s">
        <v>36</v>
      </c>
      <c r="K482" s="246" t="s">
        <v>763</v>
      </c>
      <c r="L482" s="243"/>
      <c r="AM482" s="197">
        <f>N482*G482-T482</f>
        <v>0</v>
      </c>
      <c r="AP482" s="197">
        <f>O482*G482-U482</f>
        <v>0</v>
      </c>
    </row>
    <row r="483" spans="1:52" x14ac:dyDescent="0.2">
      <c r="A483" s="239">
        <v>552</v>
      </c>
      <c r="B483" s="197" t="s">
        <v>120</v>
      </c>
      <c r="C483" s="197" t="s">
        <v>113</v>
      </c>
      <c r="D483" s="265" t="s">
        <v>479</v>
      </c>
      <c r="E483" s="243" t="s">
        <v>845</v>
      </c>
      <c r="F483" s="250">
        <v>19.149999999999999</v>
      </c>
      <c r="G483" s="251">
        <f t="shared" si="68"/>
        <v>2.4</v>
      </c>
      <c r="H483" s="248">
        <v>2400</v>
      </c>
      <c r="I483" s="246" t="s">
        <v>656</v>
      </c>
      <c r="J483" s="246" t="s">
        <v>90</v>
      </c>
      <c r="K483" s="246" t="s">
        <v>756</v>
      </c>
      <c r="L483" s="243"/>
      <c r="AM483" s="197">
        <f>N483*G483-T483</f>
        <v>0</v>
      </c>
      <c r="AP483" s="197">
        <f>O483*G483-U483</f>
        <v>0</v>
      </c>
    </row>
    <row r="484" spans="1:52" ht="60" x14ac:dyDescent="0.2">
      <c r="A484" s="197">
        <v>553</v>
      </c>
      <c r="B484" s="197" t="s">
        <v>120</v>
      </c>
      <c r="C484" s="197" t="s">
        <v>113</v>
      </c>
      <c r="D484" s="265" t="s">
        <v>481</v>
      </c>
      <c r="E484" s="243" t="s">
        <v>847</v>
      </c>
      <c r="F484" s="250">
        <v>74</v>
      </c>
      <c r="G484" s="251">
        <f t="shared" si="68"/>
        <v>2.83</v>
      </c>
      <c r="H484" s="248">
        <v>2830</v>
      </c>
      <c r="I484" s="246" t="s">
        <v>656</v>
      </c>
      <c r="J484" s="246" t="s">
        <v>316</v>
      </c>
      <c r="K484" s="246" t="s">
        <v>836</v>
      </c>
      <c r="L484" s="243"/>
      <c r="M484" s="197">
        <f>99.7+1.26*5-9.45-6.5</f>
        <v>90.05</v>
      </c>
      <c r="N484" s="197">
        <f>1.6+1.26*5+0.2+0.6</f>
        <v>8.6999999999999993</v>
      </c>
      <c r="O484" s="197">
        <f>(0.325*2+2.25)*6</f>
        <v>17.399999999999999</v>
      </c>
      <c r="P484" s="197">
        <f>M484-R484-O484-N484-Q484</f>
        <v>53.739999999999981</v>
      </c>
      <c r="Q484" s="197">
        <f>3.2</f>
        <v>3.2</v>
      </c>
      <c r="R484" s="197">
        <f>0.45+6.56</f>
        <v>7.01</v>
      </c>
      <c r="V484" s="197">
        <f>2.45*2.85+2.45*2.85</f>
        <v>13.965000000000002</v>
      </c>
      <c r="AM484" s="197">
        <f>N484*G484-T484</f>
        <v>24.620999999999999</v>
      </c>
      <c r="AN484" s="197">
        <f>O484*G484-U484</f>
        <v>49.241999999999997</v>
      </c>
      <c r="AP484" s="197">
        <f>P484*G484-V484</f>
        <v>138.11919999999995</v>
      </c>
      <c r="AQ484" s="197">
        <f>Q484*G484-W484</f>
        <v>9.0560000000000009</v>
      </c>
      <c r="AZ484" s="197">
        <f>R484*G484-X484</f>
        <v>19.8383</v>
      </c>
    </row>
    <row r="485" spans="1:52" x14ac:dyDescent="0.2">
      <c r="A485" s="239">
        <v>554</v>
      </c>
      <c r="B485" s="197" t="s">
        <v>120</v>
      </c>
      <c r="C485" s="197" t="s">
        <v>113</v>
      </c>
      <c r="D485" s="246" t="s">
        <v>370</v>
      </c>
      <c r="E485" s="243" t="s">
        <v>1284</v>
      </c>
      <c r="F485" s="244"/>
      <c r="G485" s="244"/>
      <c r="H485" s="242"/>
      <c r="I485" s="242"/>
      <c r="J485" s="242"/>
      <c r="K485" s="242"/>
      <c r="L485" s="245"/>
    </row>
    <row r="486" spans="1:52" x14ac:dyDescent="0.2">
      <c r="A486" s="239">
        <v>555</v>
      </c>
      <c r="B486" s="197" t="s">
        <v>120</v>
      </c>
      <c r="C486" s="197" t="s">
        <v>113</v>
      </c>
      <c r="D486" s="246" t="s">
        <v>371</v>
      </c>
      <c r="E486" s="243" t="s">
        <v>1284</v>
      </c>
      <c r="F486" s="244"/>
      <c r="G486" s="244"/>
      <c r="H486" s="242"/>
      <c r="I486" s="242"/>
      <c r="J486" s="242"/>
      <c r="K486" s="242"/>
      <c r="L486" s="245"/>
    </row>
    <row r="487" spans="1:52" ht="30" x14ac:dyDescent="0.2">
      <c r="A487" s="197">
        <v>556</v>
      </c>
      <c r="B487" s="197" t="s">
        <v>120</v>
      </c>
      <c r="C487" s="197" t="s">
        <v>113</v>
      </c>
      <c r="D487" s="246" t="s">
        <v>795</v>
      </c>
      <c r="E487" s="243" t="s">
        <v>765</v>
      </c>
      <c r="F487" s="250">
        <v>21.7</v>
      </c>
      <c r="G487" s="251">
        <f>H487/1000</f>
        <v>2.67</v>
      </c>
      <c r="H487" s="248">
        <v>2670</v>
      </c>
      <c r="I487" s="246" t="s">
        <v>766</v>
      </c>
      <c r="J487" s="246" t="s">
        <v>98</v>
      </c>
      <c r="K487" s="246" t="s">
        <v>767</v>
      </c>
      <c r="L487" s="243"/>
      <c r="M487" s="197">
        <v>20.9</v>
      </c>
      <c r="N487" s="197">
        <f>M487-O487-P487-Q487</f>
        <v>5.4999999999999982</v>
      </c>
      <c r="O487" s="197">
        <v>6.8</v>
      </c>
      <c r="P487" s="197">
        <v>6.6</v>
      </c>
      <c r="Q487" s="197">
        <v>2</v>
      </c>
      <c r="T487" s="197">
        <f>3.45*2.55</f>
        <v>8.7974999999999994</v>
      </c>
      <c r="AP487" s="197">
        <f>N487*G487-T487</f>
        <v>5.8874999999999957</v>
      </c>
      <c r="AQ487" s="197">
        <f>O487*G487-U487</f>
        <v>18.155999999999999</v>
      </c>
      <c r="AS487" s="197">
        <f>P487*G487-V487</f>
        <v>17.622</v>
      </c>
      <c r="AT487" s="197">
        <f>Q487*G487-W487</f>
        <v>5.34</v>
      </c>
    </row>
    <row r="488" spans="1:52" x14ac:dyDescent="0.2">
      <c r="A488" s="239">
        <v>557</v>
      </c>
      <c r="B488" s="197" t="s">
        <v>120</v>
      </c>
      <c r="C488" s="197" t="s">
        <v>113</v>
      </c>
      <c r="D488" s="246" t="s">
        <v>408</v>
      </c>
      <c r="E488" s="243" t="s">
        <v>769</v>
      </c>
      <c r="F488" s="250">
        <v>2.5</v>
      </c>
      <c r="G488" s="251">
        <f>H488/1000</f>
        <v>2.4</v>
      </c>
      <c r="H488" s="248">
        <v>2400</v>
      </c>
      <c r="I488" s="246" t="s">
        <v>766</v>
      </c>
      <c r="J488" s="246" t="s">
        <v>46</v>
      </c>
      <c r="K488" s="246" t="s">
        <v>763</v>
      </c>
      <c r="L488" s="243"/>
      <c r="M488" s="197">
        <f>O488+N488</f>
        <v>3.55</v>
      </c>
      <c r="N488" s="197">
        <v>2.2999999999999998</v>
      </c>
      <c r="O488" s="197">
        <f>0.35*2+0.55</f>
        <v>1.25</v>
      </c>
      <c r="AP488" s="197">
        <f>N488*G488-T488</f>
        <v>5.52</v>
      </c>
      <c r="AQ488" s="197">
        <f>O488*G488-U488</f>
        <v>3</v>
      </c>
    </row>
    <row r="489" spans="1:52" x14ac:dyDescent="0.2">
      <c r="A489" s="239">
        <v>558</v>
      </c>
      <c r="B489" s="197" t="s">
        <v>120</v>
      </c>
      <c r="C489" s="197" t="s">
        <v>113</v>
      </c>
      <c r="D489" s="246" t="s">
        <v>474</v>
      </c>
      <c r="E489" s="243" t="s">
        <v>771</v>
      </c>
      <c r="F489" s="250">
        <v>2.25</v>
      </c>
      <c r="G489" s="251">
        <f>H489/1000</f>
        <v>2.4</v>
      </c>
      <c r="H489" s="248">
        <v>2400</v>
      </c>
      <c r="I489" s="246" t="s">
        <v>766</v>
      </c>
      <c r="J489" s="246" t="s">
        <v>46</v>
      </c>
      <c r="K489" s="246" t="s">
        <v>756</v>
      </c>
      <c r="L489" s="243"/>
      <c r="M489" s="197">
        <f>6.45-1.5</f>
        <v>4.95</v>
      </c>
      <c r="N489" s="197">
        <f>1.155+0.6</f>
        <v>1.7549999999999999</v>
      </c>
      <c r="O489" s="197">
        <f>M489-N489</f>
        <v>3.1950000000000003</v>
      </c>
      <c r="AP489" s="197">
        <f>N489*G489-T489</f>
        <v>4.2119999999999997</v>
      </c>
      <c r="AQ489" s="197">
        <f>O489*G489-U489</f>
        <v>7.6680000000000001</v>
      </c>
    </row>
    <row r="490" spans="1:52" x14ac:dyDescent="0.2">
      <c r="A490" s="197">
        <v>559</v>
      </c>
      <c r="B490" s="197" t="s">
        <v>120</v>
      </c>
      <c r="C490" s="197" t="s">
        <v>113</v>
      </c>
      <c r="D490" s="246" t="s">
        <v>919</v>
      </c>
      <c r="E490" s="243" t="s">
        <v>849</v>
      </c>
      <c r="F490" s="250">
        <v>9.1999999999999993</v>
      </c>
      <c r="G490" s="251">
        <f>H490/1000</f>
        <v>2.67</v>
      </c>
      <c r="H490" s="248">
        <v>2670</v>
      </c>
      <c r="I490" s="246" t="s">
        <v>656</v>
      </c>
      <c r="J490" s="246" t="s">
        <v>46</v>
      </c>
      <c r="K490" s="246" t="s">
        <v>763</v>
      </c>
      <c r="L490" s="243"/>
      <c r="M490" s="197">
        <f>4.2*2+2.2*2</f>
        <v>12.8</v>
      </c>
      <c r="N490" s="197">
        <f>M490-O490</f>
        <v>11</v>
      </c>
      <c r="O490" s="197">
        <v>1.8</v>
      </c>
      <c r="T490" s="197">
        <f>2.2*2.55</f>
        <v>5.61</v>
      </c>
      <c r="AP490" s="197">
        <f>N490*G490-T490</f>
        <v>23.759999999999998</v>
      </c>
      <c r="AQ490" s="197">
        <f>O490*G490-U490</f>
        <v>4.806</v>
      </c>
    </row>
    <row r="491" spans="1:52" x14ac:dyDescent="0.2">
      <c r="A491" s="239">
        <v>560</v>
      </c>
      <c r="B491" s="197" t="s">
        <v>120</v>
      </c>
      <c r="C491" s="197" t="s">
        <v>113</v>
      </c>
      <c r="D491" s="246" t="s">
        <v>439</v>
      </c>
      <c r="E491" s="243" t="s">
        <v>1254</v>
      </c>
      <c r="F491" s="250">
        <v>22.45</v>
      </c>
      <c r="G491" s="250"/>
      <c r="H491" s="248">
        <v>2910</v>
      </c>
      <c r="I491" s="246" t="s">
        <v>1255</v>
      </c>
      <c r="J491" s="246" t="s">
        <v>92</v>
      </c>
      <c r="K491" s="246" t="s">
        <v>677</v>
      </c>
      <c r="L491" s="243"/>
    </row>
    <row r="492" spans="1:52" ht="45" x14ac:dyDescent="0.2">
      <c r="A492" s="239">
        <v>561</v>
      </c>
      <c r="B492" s="197" t="s">
        <v>120</v>
      </c>
      <c r="C492" s="197" t="s">
        <v>113</v>
      </c>
      <c r="D492" s="246" t="s">
        <v>464</v>
      </c>
      <c r="E492" s="243" t="s">
        <v>1242</v>
      </c>
      <c r="F492" s="250">
        <v>27.15</v>
      </c>
      <c r="G492" s="250"/>
      <c r="H492" s="248">
        <v>2910</v>
      </c>
      <c r="I492" s="246" t="s">
        <v>1246</v>
      </c>
      <c r="J492" s="246" t="s">
        <v>92</v>
      </c>
      <c r="K492" s="246" t="s">
        <v>677</v>
      </c>
      <c r="L492" s="243" t="s">
        <v>107</v>
      </c>
    </row>
    <row r="493" spans="1:52" x14ac:dyDescent="0.2">
      <c r="A493" s="197">
        <v>562</v>
      </c>
      <c r="B493" s="197" t="s">
        <v>120</v>
      </c>
      <c r="C493" s="197" t="s">
        <v>113</v>
      </c>
      <c r="D493" s="246"/>
      <c r="E493" s="243" t="s">
        <v>1286</v>
      </c>
      <c r="F493" s="244"/>
      <c r="G493" s="244"/>
      <c r="H493" s="242"/>
      <c r="I493" s="242"/>
      <c r="J493" s="242"/>
      <c r="K493" s="242"/>
      <c r="L493" s="245"/>
    </row>
    <row r="494" spans="1:52" ht="30" x14ac:dyDescent="0.2">
      <c r="A494" s="239">
        <v>563</v>
      </c>
      <c r="B494" s="197" t="s">
        <v>120</v>
      </c>
      <c r="C494" s="197" t="s">
        <v>113</v>
      </c>
      <c r="D494" s="246" t="s">
        <v>1432</v>
      </c>
      <c r="E494" s="243" t="s">
        <v>1412</v>
      </c>
      <c r="F494" s="250">
        <v>41.7</v>
      </c>
      <c r="G494" s="251">
        <f t="shared" ref="G494:G502" si="69">H494/1000</f>
        <v>2.4002669999999999</v>
      </c>
      <c r="H494" s="248">
        <v>2400.2669999999998</v>
      </c>
      <c r="I494" s="246" t="s">
        <v>1433</v>
      </c>
      <c r="J494" s="246" t="s">
        <v>46</v>
      </c>
      <c r="K494" s="246" t="s">
        <v>1355</v>
      </c>
      <c r="L494" s="243"/>
      <c r="M494" s="197">
        <f>14.9*2+9.15*2+9.2-2.1*2</f>
        <v>53.099999999999994</v>
      </c>
      <c r="N494" s="197">
        <f t="shared" ref="N494:N502" si="70">M494-O494-P494</f>
        <v>43.899999999999991</v>
      </c>
      <c r="O494" s="197">
        <v>9.1999999999999993</v>
      </c>
      <c r="T494" s="197">
        <f t="shared" ref="T494:T502" si="71">(3.26+0.19+3.26)*2.55</f>
        <v>17.110499999999995</v>
      </c>
      <c r="U494" s="197">
        <f t="shared" ref="U494:U502" si="72">1.05*2.4*2</f>
        <v>5.04</v>
      </c>
      <c r="AP494" s="197">
        <f t="shared" ref="AP494:AP502" si="73">N494*2.67-T494</f>
        <v>100.10249999999999</v>
      </c>
      <c r="AQ494" s="197">
        <f t="shared" ref="AQ494:AQ502" si="74">O494*2.4-U494</f>
        <v>17.04</v>
      </c>
    </row>
    <row r="495" spans="1:52" ht="30" x14ac:dyDescent="0.2">
      <c r="A495" s="239">
        <v>564</v>
      </c>
      <c r="B495" s="197" t="s">
        <v>120</v>
      </c>
      <c r="C495" s="197" t="s">
        <v>113</v>
      </c>
      <c r="D495" s="246" t="s">
        <v>1434</v>
      </c>
      <c r="E495" s="243" t="s">
        <v>1412</v>
      </c>
      <c r="F495" s="250">
        <v>41.7</v>
      </c>
      <c r="G495" s="251">
        <f t="shared" si="69"/>
        <v>2.4002669999999999</v>
      </c>
      <c r="H495" s="248">
        <v>2400.2669999999998</v>
      </c>
      <c r="I495" s="246" t="s">
        <v>1433</v>
      </c>
      <c r="J495" s="246" t="s">
        <v>317</v>
      </c>
      <c r="K495" s="246" t="s">
        <v>1349</v>
      </c>
      <c r="L495" s="243"/>
      <c r="M495" s="197">
        <f>14.9*2+9.25*2+9.2-2.1*2</f>
        <v>53.3</v>
      </c>
      <c r="N495" s="197">
        <f t="shared" si="70"/>
        <v>37.799999999999997</v>
      </c>
      <c r="O495" s="197">
        <v>9.1999999999999993</v>
      </c>
      <c r="P495" s="197">
        <v>6.3</v>
      </c>
      <c r="T495" s="197">
        <f t="shared" si="71"/>
        <v>17.110499999999995</v>
      </c>
      <c r="U495" s="197">
        <f t="shared" si="72"/>
        <v>5.04</v>
      </c>
      <c r="AP495" s="197">
        <f t="shared" si="73"/>
        <v>83.815499999999986</v>
      </c>
      <c r="AQ495" s="197">
        <f t="shared" si="74"/>
        <v>17.04</v>
      </c>
      <c r="AY495" s="197">
        <f>P495*2.67-V495</f>
        <v>16.820999999999998</v>
      </c>
    </row>
    <row r="496" spans="1:52" ht="30" x14ac:dyDescent="0.2">
      <c r="A496" s="197">
        <v>565</v>
      </c>
      <c r="B496" s="197" t="s">
        <v>120</v>
      </c>
      <c r="C496" s="197" t="s">
        <v>113</v>
      </c>
      <c r="D496" s="246" t="s">
        <v>1435</v>
      </c>
      <c r="E496" s="243" t="s">
        <v>1412</v>
      </c>
      <c r="F496" s="247">
        <v>41.7</v>
      </c>
      <c r="G496" s="251">
        <f t="shared" si="69"/>
        <v>2.4002669999999999</v>
      </c>
      <c r="H496" s="248">
        <v>2400.2669999999998</v>
      </c>
      <c r="I496" s="246" t="s">
        <v>1433</v>
      </c>
      <c r="J496" s="246" t="s">
        <v>46</v>
      </c>
      <c r="K496" s="246" t="s">
        <v>1355</v>
      </c>
      <c r="L496" s="243"/>
      <c r="M496" s="197">
        <f>14.9*2+9.15*2+9.2-2.1*2</f>
        <v>53.099999999999994</v>
      </c>
      <c r="N496" s="197">
        <f t="shared" si="70"/>
        <v>43.899999999999991</v>
      </c>
      <c r="O496" s="197">
        <v>9.1999999999999993</v>
      </c>
      <c r="T496" s="197">
        <f t="shared" si="71"/>
        <v>17.110499999999995</v>
      </c>
      <c r="U496" s="197">
        <f t="shared" si="72"/>
        <v>5.04</v>
      </c>
      <c r="AP496" s="197">
        <f t="shared" si="73"/>
        <v>100.10249999999999</v>
      </c>
      <c r="AQ496" s="197">
        <f t="shared" si="74"/>
        <v>17.04</v>
      </c>
    </row>
    <row r="497" spans="1:52" ht="30" x14ac:dyDescent="0.2">
      <c r="A497" s="239">
        <v>566</v>
      </c>
      <c r="B497" s="197" t="s">
        <v>120</v>
      </c>
      <c r="C497" s="197" t="s">
        <v>113</v>
      </c>
      <c r="D497" s="246" t="s">
        <v>1436</v>
      </c>
      <c r="E497" s="243" t="s">
        <v>1412</v>
      </c>
      <c r="F497" s="250">
        <v>41.7</v>
      </c>
      <c r="G497" s="251">
        <f t="shared" si="69"/>
        <v>2.4002669999999999</v>
      </c>
      <c r="H497" s="248">
        <v>2400.2669999999998</v>
      </c>
      <c r="I497" s="246" t="s">
        <v>1433</v>
      </c>
      <c r="J497" s="246" t="s">
        <v>46</v>
      </c>
      <c r="K497" s="246" t="s">
        <v>1349</v>
      </c>
      <c r="L497" s="243"/>
      <c r="M497" s="197">
        <f>14.9*2+9.15*2+9.2-2.1*2</f>
        <v>53.099999999999994</v>
      </c>
      <c r="N497" s="197">
        <f t="shared" si="70"/>
        <v>43.899999999999991</v>
      </c>
      <c r="O497" s="197">
        <v>9.1999999999999993</v>
      </c>
      <c r="T497" s="197">
        <f t="shared" si="71"/>
        <v>17.110499999999995</v>
      </c>
      <c r="U497" s="197">
        <f t="shared" si="72"/>
        <v>5.04</v>
      </c>
      <c r="AP497" s="197">
        <f t="shared" si="73"/>
        <v>100.10249999999999</v>
      </c>
      <c r="AQ497" s="197">
        <f t="shared" si="74"/>
        <v>17.04</v>
      </c>
    </row>
    <row r="498" spans="1:52" ht="30" x14ac:dyDescent="0.2">
      <c r="A498" s="239">
        <v>567</v>
      </c>
      <c r="B498" s="197" t="s">
        <v>120</v>
      </c>
      <c r="C498" s="197" t="s">
        <v>113</v>
      </c>
      <c r="D498" s="246" t="s">
        <v>1437</v>
      </c>
      <c r="E498" s="243" t="s">
        <v>1412</v>
      </c>
      <c r="F498" s="250">
        <v>41.7</v>
      </c>
      <c r="G498" s="251">
        <f t="shared" si="69"/>
        <v>2.4002669999999999</v>
      </c>
      <c r="H498" s="248">
        <v>2400.2669999999998</v>
      </c>
      <c r="I498" s="246" t="s">
        <v>1433</v>
      </c>
      <c r="J498" s="246" t="s">
        <v>317</v>
      </c>
      <c r="K498" s="246" t="s">
        <v>1349</v>
      </c>
      <c r="L498" s="243"/>
      <c r="M498" s="197">
        <f>14.9*2+9.25*2+9.2-2.1*2</f>
        <v>53.3</v>
      </c>
      <c r="N498" s="197">
        <f t="shared" si="70"/>
        <v>37.799999999999997</v>
      </c>
      <c r="O498" s="197">
        <v>9.1999999999999993</v>
      </c>
      <c r="P498" s="197">
        <v>6.3</v>
      </c>
      <c r="T498" s="197">
        <f t="shared" si="71"/>
        <v>17.110499999999995</v>
      </c>
      <c r="U498" s="197">
        <f t="shared" si="72"/>
        <v>5.04</v>
      </c>
      <c r="AP498" s="197">
        <f t="shared" si="73"/>
        <v>83.815499999999986</v>
      </c>
      <c r="AQ498" s="197">
        <f t="shared" si="74"/>
        <v>17.04</v>
      </c>
      <c r="AY498" s="197">
        <f>P498*2.67-V498</f>
        <v>16.820999999999998</v>
      </c>
    </row>
    <row r="499" spans="1:52" ht="30" x14ac:dyDescent="0.2">
      <c r="A499" s="197">
        <v>568</v>
      </c>
      <c r="B499" s="197" t="s">
        <v>120</v>
      </c>
      <c r="C499" s="197" t="s">
        <v>113</v>
      </c>
      <c r="D499" s="246" t="s">
        <v>1438</v>
      </c>
      <c r="E499" s="243" t="s">
        <v>1412</v>
      </c>
      <c r="F499" s="250">
        <v>41.7</v>
      </c>
      <c r="G499" s="251">
        <f t="shared" si="69"/>
        <v>2.4002669999999999</v>
      </c>
      <c r="H499" s="248">
        <v>2400.2669999999998</v>
      </c>
      <c r="I499" s="246" t="s">
        <v>1433</v>
      </c>
      <c r="J499" s="246" t="s">
        <v>46</v>
      </c>
      <c r="K499" s="246" t="s">
        <v>1349</v>
      </c>
      <c r="L499" s="243"/>
      <c r="M499" s="197">
        <f>14.9*2+9.15*2+9.2-2.1*2</f>
        <v>53.099999999999994</v>
      </c>
      <c r="N499" s="197">
        <f t="shared" si="70"/>
        <v>43.899999999999991</v>
      </c>
      <c r="O499" s="197">
        <v>9.1999999999999993</v>
      </c>
      <c r="T499" s="197">
        <f t="shared" si="71"/>
        <v>17.110499999999995</v>
      </c>
      <c r="U499" s="197">
        <f t="shared" si="72"/>
        <v>5.04</v>
      </c>
      <c r="AP499" s="197">
        <f t="shared" si="73"/>
        <v>100.10249999999999</v>
      </c>
      <c r="AQ499" s="197">
        <f t="shared" si="74"/>
        <v>17.04</v>
      </c>
    </row>
    <row r="500" spans="1:52" ht="30" x14ac:dyDescent="0.2">
      <c r="A500" s="239">
        <v>569</v>
      </c>
      <c r="B500" s="197" t="s">
        <v>120</v>
      </c>
      <c r="C500" s="197" t="s">
        <v>113</v>
      </c>
      <c r="D500" s="246" t="s">
        <v>1439</v>
      </c>
      <c r="E500" s="243" t="s">
        <v>1412</v>
      </c>
      <c r="F500" s="247">
        <v>41.7</v>
      </c>
      <c r="G500" s="251">
        <f t="shared" si="69"/>
        <v>2.4002669999999999</v>
      </c>
      <c r="H500" s="248">
        <v>2400.2669999999998</v>
      </c>
      <c r="I500" s="246" t="s">
        <v>1433</v>
      </c>
      <c r="J500" s="246" t="s">
        <v>317</v>
      </c>
      <c r="K500" s="246" t="s">
        <v>1349</v>
      </c>
      <c r="L500" s="243"/>
      <c r="M500" s="197">
        <f>14.9*2+9.25*2+9.2-2.1*2</f>
        <v>53.3</v>
      </c>
      <c r="N500" s="197">
        <f t="shared" si="70"/>
        <v>37.799999999999997</v>
      </c>
      <c r="O500" s="197">
        <v>9.1999999999999993</v>
      </c>
      <c r="P500" s="197">
        <v>6.3</v>
      </c>
      <c r="T500" s="197">
        <f t="shared" si="71"/>
        <v>17.110499999999995</v>
      </c>
      <c r="U500" s="197">
        <f t="shared" si="72"/>
        <v>5.04</v>
      </c>
      <c r="AP500" s="197">
        <f t="shared" si="73"/>
        <v>83.815499999999986</v>
      </c>
      <c r="AQ500" s="197">
        <f t="shared" si="74"/>
        <v>17.04</v>
      </c>
      <c r="AY500" s="197">
        <f>P500*2.67-V500</f>
        <v>16.820999999999998</v>
      </c>
    </row>
    <row r="501" spans="1:52" ht="30" x14ac:dyDescent="0.2">
      <c r="A501" s="239">
        <v>570</v>
      </c>
      <c r="B501" s="197" t="s">
        <v>120</v>
      </c>
      <c r="C501" s="197" t="s">
        <v>113</v>
      </c>
      <c r="D501" s="246" t="s">
        <v>1440</v>
      </c>
      <c r="E501" s="243" t="s">
        <v>1412</v>
      </c>
      <c r="F501" s="250">
        <v>41.7</v>
      </c>
      <c r="G501" s="251">
        <f t="shared" si="69"/>
        <v>2.4002669999999999</v>
      </c>
      <c r="H501" s="248">
        <v>2400.2669999999998</v>
      </c>
      <c r="I501" s="246" t="s">
        <v>1433</v>
      </c>
      <c r="J501" s="246" t="s">
        <v>317</v>
      </c>
      <c r="K501" s="246" t="s">
        <v>1349</v>
      </c>
      <c r="L501" s="243"/>
      <c r="M501" s="197">
        <f>14.9*2+9.25*2+9.2-2.1*2</f>
        <v>53.3</v>
      </c>
      <c r="N501" s="197">
        <f t="shared" si="70"/>
        <v>37.799999999999997</v>
      </c>
      <c r="O501" s="197">
        <v>9.1999999999999993</v>
      </c>
      <c r="P501" s="197">
        <v>6.3</v>
      </c>
      <c r="T501" s="197">
        <f t="shared" si="71"/>
        <v>17.110499999999995</v>
      </c>
      <c r="U501" s="197">
        <f t="shared" si="72"/>
        <v>5.04</v>
      </c>
      <c r="AP501" s="197">
        <f t="shared" si="73"/>
        <v>83.815499999999986</v>
      </c>
      <c r="AQ501" s="197">
        <f t="shared" si="74"/>
        <v>17.04</v>
      </c>
      <c r="AY501" s="197">
        <f>P501*2.67-V501</f>
        <v>16.820999999999998</v>
      </c>
    </row>
    <row r="502" spans="1:52" ht="30" x14ac:dyDescent="0.2">
      <c r="A502" s="197">
        <v>571</v>
      </c>
      <c r="B502" s="197" t="s">
        <v>120</v>
      </c>
      <c r="C502" s="197" t="s">
        <v>113</v>
      </c>
      <c r="D502" s="246" t="s">
        <v>1441</v>
      </c>
      <c r="E502" s="243" t="s">
        <v>1412</v>
      </c>
      <c r="F502" s="250">
        <v>41.7</v>
      </c>
      <c r="G502" s="251">
        <f t="shared" si="69"/>
        <v>2.4002669999999999</v>
      </c>
      <c r="H502" s="248">
        <v>2400.2669999999998</v>
      </c>
      <c r="I502" s="246" t="s">
        <v>1433</v>
      </c>
      <c r="J502" s="246" t="s">
        <v>46</v>
      </c>
      <c r="K502" s="246" t="s">
        <v>1349</v>
      </c>
      <c r="L502" s="243"/>
      <c r="M502" s="197">
        <f>14.9*2+9.15*2+9.2-2.1*2</f>
        <v>53.099999999999994</v>
      </c>
      <c r="N502" s="197">
        <f t="shared" si="70"/>
        <v>43.899999999999991</v>
      </c>
      <c r="O502" s="197">
        <v>9.1999999999999993</v>
      </c>
      <c r="T502" s="197">
        <f t="shared" si="71"/>
        <v>17.110499999999995</v>
      </c>
      <c r="U502" s="197">
        <f t="shared" si="72"/>
        <v>5.04</v>
      </c>
      <c r="AP502" s="197">
        <f t="shared" si="73"/>
        <v>100.10249999999999</v>
      </c>
      <c r="AQ502" s="197">
        <f t="shared" si="74"/>
        <v>17.04</v>
      </c>
    </row>
    <row r="503" spans="1:52" x14ac:dyDescent="0.2">
      <c r="A503" s="197">
        <v>577</v>
      </c>
      <c r="B503" s="197" t="s">
        <v>120</v>
      </c>
      <c r="C503" s="197" t="s">
        <v>114</v>
      </c>
      <c r="D503" s="246"/>
      <c r="E503" s="243" t="s">
        <v>1274</v>
      </c>
      <c r="F503" s="244"/>
      <c r="G503" s="244"/>
      <c r="H503" s="242"/>
      <c r="I503" s="242"/>
      <c r="J503" s="242"/>
      <c r="K503" s="242"/>
      <c r="L503" s="245"/>
    </row>
    <row r="504" spans="1:52" x14ac:dyDescent="0.2">
      <c r="A504" s="239">
        <v>578</v>
      </c>
      <c r="B504" s="197" t="s">
        <v>120</v>
      </c>
      <c r="C504" s="197" t="s">
        <v>114</v>
      </c>
      <c r="D504" s="246"/>
      <c r="E504" s="243" t="s">
        <v>1270</v>
      </c>
      <c r="F504" s="244"/>
      <c r="G504" s="244"/>
      <c r="H504" s="242"/>
      <c r="I504" s="242"/>
      <c r="J504" s="242"/>
      <c r="K504" s="242"/>
      <c r="L504" s="245"/>
    </row>
    <row r="505" spans="1:52" x14ac:dyDescent="0.2">
      <c r="A505" s="239">
        <v>579</v>
      </c>
      <c r="B505" s="197" t="s">
        <v>120</v>
      </c>
      <c r="C505" s="197" t="s">
        <v>114</v>
      </c>
      <c r="D505" s="246" t="s">
        <v>359</v>
      </c>
      <c r="E505" s="243" t="s">
        <v>673</v>
      </c>
      <c r="F505" s="247">
        <v>42.5</v>
      </c>
      <c r="G505" s="251">
        <f>H505/1000</f>
        <v>2.61</v>
      </c>
      <c r="H505" s="248">
        <v>2610</v>
      </c>
      <c r="I505" s="246" t="s">
        <v>1042</v>
      </c>
      <c r="J505" s="246" t="s">
        <v>96</v>
      </c>
      <c r="K505" s="246" t="s">
        <v>1032</v>
      </c>
      <c r="L505" s="243"/>
      <c r="M505" s="197">
        <f>31.5+10.2</f>
        <v>41.7</v>
      </c>
      <c r="N505" s="197">
        <f>M505-Q505-P505-O505</f>
        <v>32.825000000000003</v>
      </c>
      <c r="O505" s="197">
        <v>1.9</v>
      </c>
      <c r="P505" s="197">
        <f>0.815+0.15+1.31</f>
        <v>2.2749999999999999</v>
      </c>
      <c r="Q505" s="197">
        <f>4.4+0.15*2</f>
        <v>4.7</v>
      </c>
      <c r="T505" s="197">
        <f>4.65*2.55+4.1*2.55+2.55*2.655+1.1*2.1</f>
        <v>31.392749999999999</v>
      </c>
      <c r="AL505" s="197">
        <f>N505*G505-T505</f>
        <v>54.280500000000011</v>
      </c>
      <c r="AN505" s="197">
        <f>O505*G505-U505</f>
        <v>4.9589999999999996</v>
      </c>
      <c r="AO505" s="197">
        <f>P505*G505-V505</f>
        <v>5.9377499999999994</v>
      </c>
      <c r="AZ505" s="197">
        <f>Q505*G505-W505</f>
        <v>12.266999999999999</v>
      </c>
    </row>
    <row r="506" spans="1:52" x14ac:dyDescent="0.2">
      <c r="A506" s="197">
        <v>580</v>
      </c>
      <c r="B506" s="197" t="s">
        <v>120</v>
      </c>
      <c r="C506" s="197" t="s">
        <v>114</v>
      </c>
      <c r="D506" s="246" t="s">
        <v>666</v>
      </c>
      <c r="E506" s="243" t="s">
        <v>660</v>
      </c>
      <c r="F506" s="250">
        <v>6.15</v>
      </c>
      <c r="G506" s="251" t="e">
        <f>H506/1000</f>
        <v>#VALUE!</v>
      </c>
      <c r="H506" s="242" t="s">
        <v>9</v>
      </c>
      <c r="I506" s="242" t="s">
        <v>9</v>
      </c>
      <c r="J506" s="246" t="s">
        <v>8</v>
      </c>
      <c r="K506" s="242"/>
      <c r="L506" s="245"/>
    </row>
    <row r="507" spans="1:52" x14ac:dyDescent="0.2">
      <c r="A507" s="239">
        <v>581</v>
      </c>
      <c r="B507" s="197" t="s">
        <v>120</v>
      </c>
      <c r="C507" s="197" t="s">
        <v>114</v>
      </c>
      <c r="D507" s="246" t="s">
        <v>390</v>
      </c>
      <c r="E507" s="243" t="s">
        <v>644</v>
      </c>
      <c r="F507" s="250">
        <v>4.5</v>
      </c>
      <c r="G507" s="251" t="e">
        <f>H507/1000</f>
        <v>#VALUE!</v>
      </c>
      <c r="H507" s="242" t="s">
        <v>9</v>
      </c>
      <c r="I507" s="242" t="s">
        <v>9</v>
      </c>
      <c r="J507" s="246" t="s">
        <v>8</v>
      </c>
      <c r="K507" s="242"/>
      <c r="L507" s="245"/>
    </row>
    <row r="508" spans="1:52" ht="30" x14ac:dyDescent="0.2">
      <c r="A508" s="239">
        <v>582</v>
      </c>
      <c r="B508" s="197" t="s">
        <v>120</v>
      </c>
      <c r="C508" s="197" t="s">
        <v>114</v>
      </c>
      <c r="D508" s="246" t="s">
        <v>350</v>
      </c>
      <c r="E508" s="243" t="s">
        <v>679</v>
      </c>
      <c r="F508" s="250">
        <v>71.8</v>
      </c>
      <c r="G508" s="250"/>
      <c r="H508" s="248">
        <v>2830</v>
      </c>
      <c r="I508" s="246" t="s">
        <v>656</v>
      </c>
      <c r="J508" s="242" t="s">
        <v>86</v>
      </c>
      <c r="K508" s="246" t="s">
        <v>836</v>
      </c>
      <c r="L508" s="243"/>
      <c r="M508" s="197">
        <v>60.8</v>
      </c>
      <c r="N508" s="197">
        <f>0.8+2.5+0.6</f>
        <v>3.9</v>
      </c>
      <c r="O508" s="197">
        <f>2.5+3.15+1.1</f>
        <v>6.75</v>
      </c>
      <c r="P508" s="197">
        <f>(0.325*2+2.25)*3</f>
        <v>8.6999999999999993</v>
      </c>
      <c r="Q508" s="197">
        <f>M508-R508-P508-O508-N508</f>
        <v>35.35</v>
      </c>
      <c r="R508" s="197">
        <f>0.55+0.55+0.1+4.9</f>
        <v>6.1000000000000005</v>
      </c>
      <c r="T508" s="197">
        <f>1.1*2.1</f>
        <v>2.3100000000000005</v>
      </c>
      <c r="W508" s="197">
        <f>2.45*2.85*2+2.55*2.655+3.5*2.55</f>
        <v>29.660249999999998</v>
      </c>
      <c r="AL508" s="197">
        <f>N508*H508/1000-T508</f>
        <v>8.7270000000000003</v>
      </c>
      <c r="AM508" s="197">
        <f>O508*H508/1000-U508</f>
        <v>19.102499999999999</v>
      </c>
      <c r="AN508" s="197">
        <f>P508*H508/1000-V508</f>
        <v>24.620999999999995</v>
      </c>
      <c r="AP508" s="197">
        <f>Q508*H508/1000-W508</f>
        <v>70.38024999999999</v>
      </c>
      <c r="AZ508" s="197">
        <f>R508*H508/1000-X508</f>
        <v>17.263000000000002</v>
      </c>
    </row>
    <row r="509" spans="1:52" x14ac:dyDescent="0.2">
      <c r="A509" s="197">
        <v>583</v>
      </c>
      <c r="B509" s="197" t="s">
        <v>120</v>
      </c>
      <c r="C509" s="197" t="s">
        <v>114</v>
      </c>
      <c r="D509" s="265" t="s">
        <v>329</v>
      </c>
      <c r="E509" s="243" t="s">
        <v>679</v>
      </c>
      <c r="F509" s="250">
        <v>18.75</v>
      </c>
      <c r="G509" s="251">
        <f t="shared" ref="G509:G518" si="75">H509/1000</f>
        <v>2.83</v>
      </c>
      <c r="H509" s="248">
        <v>2830</v>
      </c>
      <c r="I509" s="246" t="s">
        <v>656</v>
      </c>
      <c r="J509" s="246" t="s">
        <v>73</v>
      </c>
      <c r="K509" s="246" t="s">
        <v>836</v>
      </c>
      <c r="L509" s="243"/>
    </row>
    <row r="510" spans="1:52" x14ac:dyDescent="0.2">
      <c r="A510" s="239">
        <v>584</v>
      </c>
      <c r="B510" s="197" t="s">
        <v>120</v>
      </c>
      <c r="C510" s="197" t="s">
        <v>114</v>
      </c>
      <c r="D510" s="265" t="s">
        <v>340</v>
      </c>
      <c r="E510" s="243" t="s">
        <v>679</v>
      </c>
      <c r="F510" s="250">
        <v>53.55</v>
      </c>
      <c r="G510" s="251">
        <f t="shared" si="75"/>
        <v>2.83</v>
      </c>
      <c r="H510" s="248">
        <v>2830</v>
      </c>
      <c r="I510" s="246" t="s">
        <v>656</v>
      </c>
      <c r="J510" s="246" t="s">
        <v>109</v>
      </c>
      <c r="K510" s="246" t="s">
        <v>836</v>
      </c>
      <c r="L510" s="243"/>
    </row>
    <row r="511" spans="1:52" x14ac:dyDescent="0.2">
      <c r="A511" s="239">
        <v>585</v>
      </c>
      <c r="B511" s="197" t="s">
        <v>120</v>
      </c>
      <c r="C511" s="197" t="s">
        <v>114</v>
      </c>
      <c r="D511" s="265" t="s">
        <v>338</v>
      </c>
      <c r="E511" s="243" t="s">
        <v>679</v>
      </c>
      <c r="F511" s="250">
        <v>38.35</v>
      </c>
      <c r="G511" s="251">
        <f t="shared" si="75"/>
        <v>2.83</v>
      </c>
      <c r="H511" s="248">
        <v>2830</v>
      </c>
      <c r="I511" s="246" t="s">
        <v>656</v>
      </c>
      <c r="J511" s="246" t="s">
        <v>88</v>
      </c>
      <c r="K511" s="246" t="s">
        <v>836</v>
      </c>
      <c r="L511" s="243"/>
    </row>
    <row r="512" spans="1:52" x14ac:dyDescent="0.2">
      <c r="A512" s="197">
        <v>586</v>
      </c>
      <c r="B512" s="197" t="s">
        <v>120</v>
      </c>
      <c r="C512" s="197" t="s">
        <v>114</v>
      </c>
      <c r="D512" s="246" t="s">
        <v>449</v>
      </c>
      <c r="E512" s="243" t="s">
        <v>802</v>
      </c>
      <c r="F512" s="250">
        <v>4.8499999999999996</v>
      </c>
      <c r="G512" s="251">
        <f t="shared" si="75"/>
        <v>2.4</v>
      </c>
      <c r="H512" s="248">
        <v>2400</v>
      </c>
      <c r="I512" s="246" t="s">
        <v>654</v>
      </c>
      <c r="J512" s="246" t="s">
        <v>60</v>
      </c>
      <c r="K512" s="246" t="s">
        <v>756</v>
      </c>
      <c r="L512" s="243"/>
      <c r="M512" s="197">
        <f>9.8</f>
        <v>9.8000000000000007</v>
      </c>
      <c r="N512" s="197">
        <f>1.5</f>
        <v>1.5</v>
      </c>
      <c r="O512" s="197">
        <f>M512-P512-N512</f>
        <v>5.25</v>
      </c>
      <c r="P512" s="197">
        <f>0.6+2.45</f>
        <v>3.0500000000000003</v>
      </c>
      <c r="AH512" s="197">
        <f>N512*G512-T512</f>
        <v>3.5999999999999996</v>
      </c>
      <c r="AP512" s="197">
        <f>O512*G512-U512</f>
        <v>12.6</v>
      </c>
      <c r="AR512" s="197">
        <f>P512*G512-V512</f>
        <v>7.32</v>
      </c>
    </row>
    <row r="513" spans="1:52" ht="30" x14ac:dyDescent="0.2">
      <c r="A513" s="239">
        <v>587</v>
      </c>
      <c r="B513" s="197" t="s">
        <v>120</v>
      </c>
      <c r="C513" s="197" t="s">
        <v>114</v>
      </c>
      <c r="D513" s="246" t="s">
        <v>419</v>
      </c>
      <c r="E513" s="252" t="s">
        <v>104</v>
      </c>
      <c r="F513" s="250">
        <v>4.45</v>
      </c>
      <c r="G513" s="251">
        <f t="shared" si="75"/>
        <v>2.4</v>
      </c>
      <c r="H513" s="248">
        <v>2400</v>
      </c>
      <c r="I513" s="246" t="s">
        <v>654</v>
      </c>
      <c r="J513" s="246" t="s">
        <v>89</v>
      </c>
      <c r="K513" s="246" t="s">
        <v>833</v>
      </c>
      <c r="L513" s="243"/>
      <c r="M513" s="197">
        <v>9.4499999999999993</v>
      </c>
      <c r="N513" s="197">
        <f>0.6+0.2</f>
        <v>0.8</v>
      </c>
      <c r="O513" s="197">
        <f>1.15</f>
        <v>1.1499999999999999</v>
      </c>
      <c r="P513" s="197">
        <f>M513-O513-N513</f>
        <v>7.4999999999999991</v>
      </c>
      <c r="V513" s="197">
        <f>0.85*2.4</f>
        <v>2.04</v>
      </c>
      <c r="AM513" s="197">
        <f>N513*G513-T513</f>
        <v>1.92</v>
      </c>
      <c r="AP513" s="197">
        <f>O513*G513-U513</f>
        <v>2.76</v>
      </c>
      <c r="AR513" s="197">
        <f>P513*G513-V513</f>
        <v>15.959999999999997</v>
      </c>
    </row>
    <row r="514" spans="1:52" ht="30" x14ac:dyDescent="0.2">
      <c r="A514" s="239">
        <v>588</v>
      </c>
      <c r="B514" s="197" t="s">
        <v>120</v>
      </c>
      <c r="C514" s="197" t="s">
        <v>114</v>
      </c>
      <c r="D514" s="246" t="s">
        <v>381</v>
      </c>
      <c r="E514" s="243" t="s">
        <v>806</v>
      </c>
      <c r="F514" s="250">
        <v>7.65</v>
      </c>
      <c r="G514" s="251">
        <f t="shared" si="75"/>
        <v>2.4</v>
      </c>
      <c r="H514" s="248">
        <v>2400</v>
      </c>
      <c r="I514" s="246" t="s">
        <v>654</v>
      </c>
      <c r="J514" s="246" t="s">
        <v>36</v>
      </c>
      <c r="K514" s="246" t="s">
        <v>756</v>
      </c>
      <c r="L514" s="243"/>
      <c r="M514" s="197">
        <f>14.3</f>
        <v>14.3</v>
      </c>
      <c r="N514" s="197">
        <f>0.2+0.6</f>
        <v>0.8</v>
      </c>
      <c r="O514" s="197">
        <f>M514-N514</f>
        <v>13.5</v>
      </c>
      <c r="AM514" s="197">
        <f>N514*G514-T514</f>
        <v>1.92</v>
      </c>
      <c r="AP514" s="197">
        <f>O514*G514-U514</f>
        <v>32.4</v>
      </c>
    </row>
    <row r="515" spans="1:52" ht="30" x14ac:dyDescent="0.2">
      <c r="A515" s="197">
        <v>589</v>
      </c>
      <c r="B515" s="197" t="s">
        <v>120</v>
      </c>
      <c r="C515" s="197" t="s">
        <v>114</v>
      </c>
      <c r="D515" s="246" t="s">
        <v>457</v>
      </c>
      <c r="E515" s="243" t="s">
        <v>841</v>
      </c>
      <c r="F515" s="250">
        <v>8.1999999999999993</v>
      </c>
      <c r="G515" s="251">
        <f t="shared" si="75"/>
        <v>2.4</v>
      </c>
      <c r="H515" s="248">
        <v>2400</v>
      </c>
      <c r="I515" s="246" t="s">
        <v>656</v>
      </c>
      <c r="J515" s="246" t="s">
        <v>89</v>
      </c>
      <c r="K515" s="246" t="s">
        <v>763</v>
      </c>
      <c r="L515" s="243"/>
      <c r="M515" s="197">
        <v>12.05</v>
      </c>
      <c r="N515" s="197">
        <f>0.2+0.8</f>
        <v>1</v>
      </c>
      <c r="O515" s="197">
        <f>M515-P515-N515</f>
        <v>7.3000000000000007</v>
      </c>
      <c r="P515" s="197">
        <f>0.6*2+2.55</f>
        <v>3.75</v>
      </c>
      <c r="U515" s="197">
        <f>1.8*2.4</f>
        <v>4.32</v>
      </c>
      <c r="AM515" s="197">
        <f>N515*G515-T515</f>
        <v>2.4</v>
      </c>
      <c r="AP515" s="197">
        <f>O515*G515-U515</f>
        <v>13.2</v>
      </c>
      <c r="AR515" s="197">
        <f>P515*G515-V515</f>
        <v>9</v>
      </c>
    </row>
    <row r="516" spans="1:52" x14ac:dyDescent="0.2">
      <c r="A516" s="239">
        <v>590</v>
      </c>
      <c r="B516" s="197" t="s">
        <v>120</v>
      </c>
      <c r="C516" s="197" t="s">
        <v>114</v>
      </c>
      <c r="D516" s="265" t="s">
        <v>398</v>
      </c>
      <c r="E516" s="243" t="s">
        <v>843</v>
      </c>
      <c r="F516" s="250">
        <v>7.75</v>
      </c>
      <c r="G516" s="251">
        <f t="shared" si="75"/>
        <v>2.4</v>
      </c>
      <c r="H516" s="248">
        <v>2400</v>
      </c>
      <c r="I516" s="246" t="s">
        <v>656</v>
      </c>
      <c r="J516" s="246" t="s">
        <v>34</v>
      </c>
      <c r="K516" s="246" t="s">
        <v>756</v>
      </c>
      <c r="L516" s="243"/>
      <c r="AP516" s="197">
        <f>N516*G516-T516</f>
        <v>0</v>
      </c>
    </row>
    <row r="517" spans="1:52" x14ac:dyDescent="0.2">
      <c r="A517" s="239">
        <v>591</v>
      </c>
      <c r="B517" s="197" t="s">
        <v>120</v>
      </c>
      <c r="C517" s="197" t="s">
        <v>114</v>
      </c>
      <c r="D517" s="265" t="s">
        <v>480</v>
      </c>
      <c r="E517" s="243" t="s">
        <v>845</v>
      </c>
      <c r="F517" s="250">
        <v>17.7</v>
      </c>
      <c r="G517" s="251">
        <f t="shared" si="75"/>
        <v>2.4</v>
      </c>
      <c r="H517" s="248">
        <v>2400</v>
      </c>
      <c r="I517" s="246" t="s">
        <v>656</v>
      </c>
      <c r="J517" s="246" t="s">
        <v>46</v>
      </c>
      <c r="K517" s="246" t="s">
        <v>763</v>
      </c>
      <c r="L517" s="243"/>
      <c r="AP517" s="197">
        <f>N517*G517-T517</f>
        <v>0</v>
      </c>
      <c r="AQ517" s="197">
        <f>O517*G517-U517</f>
        <v>0</v>
      </c>
    </row>
    <row r="518" spans="1:52" ht="30" x14ac:dyDescent="0.2">
      <c r="A518" s="197">
        <v>592</v>
      </c>
      <c r="B518" s="197" t="s">
        <v>120</v>
      </c>
      <c r="C518" s="197" t="s">
        <v>114</v>
      </c>
      <c r="D518" s="246" t="s">
        <v>926</v>
      </c>
      <c r="E518" s="243" t="s">
        <v>847</v>
      </c>
      <c r="F518" s="250">
        <v>71.45</v>
      </c>
      <c r="G518" s="251">
        <f t="shared" si="75"/>
        <v>2.83</v>
      </c>
      <c r="H518" s="248">
        <v>2830</v>
      </c>
      <c r="I518" s="246" t="s">
        <v>656</v>
      </c>
      <c r="J518" s="246" t="s">
        <v>316</v>
      </c>
      <c r="K518" s="246" t="s">
        <v>836</v>
      </c>
      <c r="L518" s="243"/>
      <c r="M518" s="197">
        <f>99.7+1.26*5-9.45-6.5</f>
        <v>90.05</v>
      </c>
      <c r="N518" s="197">
        <f>1.6+1.26*5+0.2+0.6</f>
        <v>8.6999999999999993</v>
      </c>
      <c r="O518" s="197">
        <f>(0.325*2+2.25)*6</f>
        <v>17.399999999999999</v>
      </c>
      <c r="P518" s="197">
        <f>M518-R518-O518-N518-Q518</f>
        <v>53.739999999999981</v>
      </c>
      <c r="Q518" s="197">
        <f>3.2</f>
        <v>3.2</v>
      </c>
      <c r="R518" s="197">
        <f>0.45+6.56</f>
        <v>7.01</v>
      </c>
      <c r="V518" s="197">
        <f>2.45*2.85+2.45*2.85</f>
        <v>13.965000000000002</v>
      </c>
      <c r="AM518" s="197">
        <f>N518*G518-T518</f>
        <v>24.620999999999999</v>
      </c>
      <c r="AN518" s="197">
        <f>O518*G518-U518</f>
        <v>49.241999999999997</v>
      </c>
      <c r="AP518" s="197">
        <f>P518*G518-V518</f>
        <v>138.11919999999995</v>
      </c>
      <c r="AQ518" s="197">
        <f>Q518*G518-W518</f>
        <v>9.0560000000000009</v>
      </c>
      <c r="AZ518" s="197">
        <f>R518*G518-X518</f>
        <v>19.8383</v>
      </c>
    </row>
    <row r="519" spans="1:52" x14ac:dyDescent="0.2">
      <c r="A519" s="239">
        <v>593</v>
      </c>
      <c r="B519" s="197" t="s">
        <v>120</v>
      </c>
      <c r="C519" s="197" t="s">
        <v>114</v>
      </c>
      <c r="D519" s="246" t="s">
        <v>372</v>
      </c>
      <c r="E519" s="243" t="s">
        <v>1284</v>
      </c>
      <c r="F519" s="244"/>
      <c r="G519" s="244"/>
      <c r="H519" s="242"/>
      <c r="I519" s="242"/>
      <c r="J519" s="242"/>
      <c r="K519" s="242"/>
      <c r="L519" s="245"/>
    </row>
    <row r="520" spans="1:52" x14ac:dyDescent="0.2">
      <c r="A520" s="239">
        <v>594</v>
      </c>
      <c r="B520" s="197" t="s">
        <v>120</v>
      </c>
      <c r="C520" s="197" t="s">
        <v>114</v>
      </c>
      <c r="D520" s="246" t="s">
        <v>373</v>
      </c>
      <c r="E520" s="243" t="s">
        <v>1284</v>
      </c>
      <c r="F520" s="244"/>
      <c r="G520" s="244"/>
      <c r="H520" s="242"/>
      <c r="I520" s="242"/>
      <c r="J520" s="242"/>
      <c r="K520" s="242"/>
      <c r="L520" s="245"/>
    </row>
    <row r="521" spans="1:52" ht="30" x14ac:dyDescent="0.2">
      <c r="A521" s="197">
        <v>595</v>
      </c>
      <c r="B521" s="197" t="s">
        <v>120</v>
      </c>
      <c r="C521" s="197" t="s">
        <v>114</v>
      </c>
      <c r="D521" s="246" t="s">
        <v>798</v>
      </c>
      <c r="E521" s="243" t="s">
        <v>765</v>
      </c>
      <c r="F521" s="250">
        <v>20.3</v>
      </c>
      <c r="G521" s="251">
        <f>H521/1000</f>
        <v>2.67</v>
      </c>
      <c r="H521" s="248">
        <v>2670</v>
      </c>
      <c r="I521" s="246" t="s">
        <v>766</v>
      </c>
      <c r="J521" s="246" t="s">
        <v>91</v>
      </c>
      <c r="K521" s="246" t="s">
        <v>767</v>
      </c>
      <c r="L521" s="243"/>
      <c r="M521" s="197">
        <v>20.399999999999999</v>
      </c>
      <c r="N521" s="197">
        <f>3.5+0.42*2+3.3</f>
        <v>7.64</v>
      </c>
      <c r="O521" s="197">
        <v>5.8250000000000002</v>
      </c>
      <c r="P521" s="197">
        <f>M521-N521-O521</f>
        <v>6.9349999999999978</v>
      </c>
      <c r="T521" s="197">
        <f>3.3*2.55</f>
        <v>8.4149999999999991</v>
      </c>
      <c r="AP521" s="197">
        <f>N521*G521-T521</f>
        <v>11.983799999999999</v>
      </c>
      <c r="AQ521" s="197">
        <f>O521*G521-U521</f>
        <v>15.55275</v>
      </c>
      <c r="AT521" s="197">
        <f>P521*G521-V521</f>
        <v>18.516449999999995</v>
      </c>
    </row>
    <row r="522" spans="1:52" x14ac:dyDescent="0.2">
      <c r="A522" s="239">
        <v>596</v>
      </c>
      <c r="B522" s="197" t="s">
        <v>120</v>
      </c>
      <c r="C522" s="197" t="s">
        <v>114</v>
      </c>
      <c r="D522" s="246" t="s">
        <v>409</v>
      </c>
      <c r="E522" s="243" t="s">
        <v>769</v>
      </c>
      <c r="F522" s="250">
        <v>2.5</v>
      </c>
      <c r="G522" s="251">
        <f>H522/1000</f>
        <v>2.4</v>
      </c>
      <c r="H522" s="248">
        <v>2400</v>
      </c>
      <c r="I522" s="246" t="s">
        <v>766</v>
      </c>
      <c r="J522" s="246" t="s">
        <v>46</v>
      </c>
      <c r="K522" s="246" t="s">
        <v>756</v>
      </c>
      <c r="L522" s="243"/>
      <c r="M522" s="197">
        <f>O522+N522</f>
        <v>3.55</v>
      </c>
      <c r="N522" s="197">
        <v>2.2999999999999998</v>
      </c>
      <c r="O522" s="197">
        <f>0.35*2+0.55</f>
        <v>1.25</v>
      </c>
      <c r="AP522" s="197">
        <f>N522*G522-T522</f>
        <v>5.52</v>
      </c>
      <c r="AQ522" s="197">
        <f>O522*G522-U522</f>
        <v>3</v>
      </c>
    </row>
    <row r="523" spans="1:52" x14ac:dyDescent="0.2">
      <c r="A523" s="239">
        <v>597</v>
      </c>
      <c r="B523" s="197" t="s">
        <v>120</v>
      </c>
      <c r="C523" s="197" t="s">
        <v>114</v>
      </c>
      <c r="D523" s="246" t="s">
        <v>475</v>
      </c>
      <c r="E523" s="243" t="s">
        <v>771</v>
      </c>
      <c r="F523" s="250">
        <v>2.2000000000000002</v>
      </c>
      <c r="G523" s="251">
        <f>H523/1000</f>
        <v>2.4</v>
      </c>
      <c r="H523" s="248">
        <v>2400</v>
      </c>
      <c r="I523" s="246" t="s">
        <v>766</v>
      </c>
      <c r="J523" s="246" t="s">
        <v>46</v>
      </c>
      <c r="K523" s="246" t="s">
        <v>763</v>
      </c>
      <c r="L523" s="243"/>
      <c r="M523" s="197">
        <f>6.45-1.5</f>
        <v>4.95</v>
      </c>
      <c r="N523" s="197">
        <f>1.155+0.6</f>
        <v>1.7549999999999999</v>
      </c>
      <c r="O523" s="197">
        <f>M523-N523</f>
        <v>3.1950000000000003</v>
      </c>
      <c r="AP523" s="197">
        <f>N523*G523-T523</f>
        <v>4.2119999999999997</v>
      </c>
      <c r="AQ523" s="197">
        <f>O523*G523-U523</f>
        <v>7.6680000000000001</v>
      </c>
    </row>
    <row r="524" spans="1:52" x14ac:dyDescent="0.2">
      <c r="A524" s="197">
        <v>598</v>
      </c>
      <c r="B524" s="197" t="s">
        <v>120</v>
      </c>
      <c r="C524" s="197" t="s">
        <v>114</v>
      </c>
      <c r="D524" s="246" t="s">
        <v>927</v>
      </c>
      <c r="E524" s="243" t="s">
        <v>849</v>
      </c>
      <c r="F524" s="250">
        <v>9</v>
      </c>
      <c r="G524" s="251">
        <f>H524/1000</f>
        <v>2.67</v>
      </c>
      <c r="H524" s="248">
        <v>2670</v>
      </c>
      <c r="I524" s="246" t="s">
        <v>656</v>
      </c>
      <c r="J524" s="246" t="s">
        <v>46</v>
      </c>
      <c r="K524" s="246" t="s">
        <v>756</v>
      </c>
      <c r="L524" s="243"/>
      <c r="M524" s="197">
        <f>4.2*2+2.2*2</f>
        <v>12.8</v>
      </c>
      <c r="N524" s="197">
        <f>M524-O524</f>
        <v>11</v>
      </c>
      <c r="O524" s="197">
        <v>1.8</v>
      </c>
      <c r="T524" s="197">
        <f>2.2*2.55</f>
        <v>5.61</v>
      </c>
      <c r="AP524" s="197">
        <f>N524*G524-T524</f>
        <v>23.759999999999998</v>
      </c>
      <c r="AQ524" s="197">
        <f>O524*G524-U524</f>
        <v>4.806</v>
      </c>
    </row>
    <row r="525" spans="1:52" x14ac:dyDescent="0.2">
      <c r="A525" s="239">
        <v>599</v>
      </c>
      <c r="B525" s="197" t="s">
        <v>120</v>
      </c>
      <c r="C525" s="197" t="s">
        <v>114</v>
      </c>
      <c r="D525" s="246" t="s">
        <v>440</v>
      </c>
      <c r="E525" s="243" t="s">
        <v>1254</v>
      </c>
      <c r="F525" s="250">
        <v>21.5</v>
      </c>
      <c r="G525" s="250"/>
      <c r="H525" s="248">
        <v>2910</v>
      </c>
      <c r="I525" s="246" t="s">
        <v>1255</v>
      </c>
      <c r="J525" s="246" t="s">
        <v>92</v>
      </c>
      <c r="K525" s="246" t="s">
        <v>677</v>
      </c>
      <c r="L525" s="243"/>
    </row>
    <row r="526" spans="1:52" ht="45" x14ac:dyDescent="0.2">
      <c r="A526" s="239">
        <v>600</v>
      </c>
      <c r="B526" s="197" t="s">
        <v>120</v>
      </c>
      <c r="C526" s="197" t="s">
        <v>114</v>
      </c>
      <c r="D526" s="246" t="s">
        <v>465</v>
      </c>
      <c r="E526" s="243" t="s">
        <v>1242</v>
      </c>
      <c r="F526" s="250">
        <v>27.15</v>
      </c>
      <c r="G526" s="250"/>
      <c r="H526" s="248">
        <v>2910</v>
      </c>
      <c r="I526" s="269" t="s">
        <v>110</v>
      </c>
      <c r="J526" s="246" t="s">
        <v>92</v>
      </c>
      <c r="K526" s="246" t="s">
        <v>1248</v>
      </c>
      <c r="L526" s="243" t="s">
        <v>107</v>
      </c>
    </row>
    <row r="527" spans="1:52" x14ac:dyDescent="0.2">
      <c r="A527" s="197">
        <v>601</v>
      </c>
      <c r="B527" s="197" t="s">
        <v>120</v>
      </c>
      <c r="C527" s="197" t="s">
        <v>114</v>
      </c>
      <c r="D527" s="246"/>
      <c r="E527" s="243" t="s">
        <v>1286</v>
      </c>
      <c r="F527" s="244"/>
      <c r="G527" s="244"/>
      <c r="H527" s="242"/>
      <c r="I527" s="242"/>
      <c r="J527" s="242"/>
      <c r="K527" s="242"/>
      <c r="L527" s="245"/>
    </row>
    <row r="528" spans="1:52" ht="30" x14ac:dyDescent="0.2">
      <c r="A528" s="239">
        <v>602</v>
      </c>
      <c r="B528" s="197" t="s">
        <v>120</v>
      </c>
      <c r="C528" s="197" t="s">
        <v>114</v>
      </c>
      <c r="D528" s="246" t="s">
        <v>1442</v>
      </c>
      <c r="E528" s="243" t="s">
        <v>1412</v>
      </c>
      <c r="F528" s="250">
        <v>41.7</v>
      </c>
      <c r="G528" s="251" t="e">
        <f t="shared" ref="G528:G536" si="76">H528/1000</f>
        <v>#VALUE!</v>
      </c>
      <c r="H528" s="246" t="s">
        <v>761</v>
      </c>
      <c r="I528" s="246" t="s">
        <v>1345</v>
      </c>
      <c r="J528" s="246" t="s">
        <v>317</v>
      </c>
      <c r="K528" s="246" t="s">
        <v>1349</v>
      </c>
      <c r="L528" s="243"/>
      <c r="M528" s="197">
        <f>14.9*2+9.25*2+9.2-2.1*2</f>
        <v>53.3</v>
      </c>
      <c r="N528" s="197">
        <f t="shared" ref="N528:N536" si="77">M528-O528-P528</f>
        <v>37.799999999999997</v>
      </c>
      <c r="O528" s="197">
        <v>9.1999999999999993</v>
      </c>
      <c r="P528" s="197">
        <v>6.3</v>
      </c>
      <c r="T528" s="197">
        <f t="shared" ref="T528:T536" si="78">(3.26+0.19+3.26)*2.55</f>
        <v>17.110499999999995</v>
      </c>
      <c r="U528" s="197">
        <f t="shared" ref="U528:U536" si="79">1.05*2.4*2</f>
        <v>5.04</v>
      </c>
      <c r="AP528" s="197">
        <f t="shared" ref="AP528:AP536" si="80">N528*2.67-T528</f>
        <v>83.815499999999986</v>
      </c>
      <c r="AQ528" s="197">
        <f t="shared" ref="AQ528:AQ536" si="81">O528*2.4-U528</f>
        <v>17.04</v>
      </c>
      <c r="AY528" s="197">
        <f>P528*2.67-V528</f>
        <v>16.820999999999998</v>
      </c>
    </row>
    <row r="529" spans="1:51" ht="30" x14ac:dyDescent="0.2">
      <c r="A529" s="239">
        <v>603</v>
      </c>
      <c r="B529" s="197" t="s">
        <v>120</v>
      </c>
      <c r="C529" s="197" t="s">
        <v>114</v>
      </c>
      <c r="D529" s="246" t="s">
        <v>1443</v>
      </c>
      <c r="E529" s="243" t="s">
        <v>1412</v>
      </c>
      <c r="F529" s="247">
        <v>41.7</v>
      </c>
      <c r="G529" s="251" t="e">
        <f t="shared" si="76"/>
        <v>#VALUE!</v>
      </c>
      <c r="H529" s="246" t="s">
        <v>761</v>
      </c>
      <c r="I529" s="246" t="s">
        <v>1345</v>
      </c>
      <c r="J529" s="246" t="s">
        <v>46</v>
      </c>
      <c r="K529" s="246" t="s">
        <v>1355</v>
      </c>
      <c r="L529" s="243"/>
      <c r="M529" s="197">
        <f>14.9*2+9.15*2+9.2-2.1*2</f>
        <v>53.099999999999994</v>
      </c>
      <c r="N529" s="197">
        <f t="shared" si="77"/>
        <v>43.899999999999991</v>
      </c>
      <c r="O529" s="197">
        <v>9.1999999999999993</v>
      </c>
      <c r="T529" s="197">
        <f t="shared" si="78"/>
        <v>17.110499999999995</v>
      </c>
      <c r="U529" s="197">
        <f t="shared" si="79"/>
        <v>5.04</v>
      </c>
      <c r="AP529" s="197">
        <f t="shared" si="80"/>
        <v>100.10249999999999</v>
      </c>
      <c r="AQ529" s="197">
        <f t="shared" si="81"/>
        <v>17.04</v>
      </c>
    </row>
    <row r="530" spans="1:51" ht="30" x14ac:dyDescent="0.2">
      <c r="A530" s="197">
        <v>604</v>
      </c>
      <c r="B530" s="197" t="s">
        <v>120</v>
      </c>
      <c r="C530" s="197" t="s">
        <v>114</v>
      </c>
      <c r="D530" s="246" t="s">
        <v>1444</v>
      </c>
      <c r="E530" s="243" t="s">
        <v>1412</v>
      </c>
      <c r="F530" s="250">
        <v>41.7</v>
      </c>
      <c r="G530" s="251" t="e">
        <f t="shared" si="76"/>
        <v>#VALUE!</v>
      </c>
      <c r="H530" s="246" t="s">
        <v>761</v>
      </c>
      <c r="I530" s="246" t="s">
        <v>1345</v>
      </c>
      <c r="J530" s="246" t="s">
        <v>317</v>
      </c>
      <c r="K530" s="246" t="s">
        <v>1349</v>
      </c>
      <c r="L530" s="243"/>
      <c r="M530" s="197">
        <f>14.9*2+9.25*2+9.2-2.1*2</f>
        <v>53.3</v>
      </c>
      <c r="N530" s="197">
        <f t="shared" si="77"/>
        <v>37.799999999999997</v>
      </c>
      <c r="O530" s="197">
        <v>9.1999999999999993</v>
      </c>
      <c r="P530" s="197">
        <v>6.3</v>
      </c>
      <c r="T530" s="197">
        <f t="shared" si="78"/>
        <v>17.110499999999995</v>
      </c>
      <c r="U530" s="197">
        <f t="shared" si="79"/>
        <v>5.04</v>
      </c>
      <c r="AP530" s="197">
        <f t="shared" si="80"/>
        <v>83.815499999999986</v>
      </c>
      <c r="AQ530" s="197">
        <f t="shared" si="81"/>
        <v>17.04</v>
      </c>
      <c r="AY530" s="197">
        <f>P530*2.67-V530</f>
        <v>16.820999999999998</v>
      </c>
    </row>
    <row r="531" spans="1:51" ht="30" x14ac:dyDescent="0.2">
      <c r="A531" s="239">
        <v>605</v>
      </c>
      <c r="B531" s="197" t="s">
        <v>120</v>
      </c>
      <c r="C531" s="197" t="s">
        <v>114</v>
      </c>
      <c r="D531" s="246" t="s">
        <v>1445</v>
      </c>
      <c r="E531" s="243" t="s">
        <v>1412</v>
      </c>
      <c r="F531" s="247">
        <v>41.7</v>
      </c>
      <c r="G531" s="251" t="e">
        <f t="shared" si="76"/>
        <v>#VALUE!</v>
      </c>
      <c r="H531" s="246" t="s">
        <v>761</v>
      </c>
      <c r="I531" s="246" t="s">
        <v>1345</v>
      </c>
      <c r="J531" s="246" t="s">
        <v>46</v>
      </c>
      <c r="K531" s="246" t="s">
        <v>1355</v>
      </c>
      <c r="L531" s="243"/>
      <c r="M531" s="197">
        <f>14.9*2+9.15*2+9.2-2.1*2</f>
        <v>53.099999999999994</v>
      </c>
      <c r="N531" s="197">
        <f t="shared" si="77"/>
        <v>43.899999999999991</v>
      </c>
      <c r="O531" s="197">
        <v>9.1999999999999993</v>
      </c>
      <c r="T531" s="197">
        <f t="shared" si="78"/>
        <v>17.110499999999995</v>
      </c>
      <c r="U531" s="197">
        <f t="shared" si="79"/>
        <v>5.04</v>
      </c>
      <c r="AP531" s="197">
        <f t="shared" si="80"/>
        <v>100.10249999999999</v>
      </c>
      <c r="AQ531" s="197">
        <f t="shared" si="81"/>
        <v>17.04</v>
      </c>
    </row>
    <row r="532" spans="1:51" ht="30" x14ac:dyDescent="0.2">
      <c r="A532" s="239">
        <v>606</v>
      </c>
      <c r="B532" s="197" t="s">
        <v>120</v>
      </c>
      <c r="C532" s="197" t="s">
        <v>114</v>
      </c>
      <c r="D532" s="246" t="s">
        <v>1446</v>
      </c>
      <c r="E532" s="243" t="s">
        <v>1412</v>
      </c>
      <c r="F532" s="250">
        <v>41.7</v>
      </c>
      <c r="G532" s="251" t="e">
        <f t="shared" si="76"/>
        <v>#VALUE!</v>
      </c>
      <c r="H532" s="246" t="s">
        <v>761</v>
      </c>
      <c r="I532" s="246" t="s">
        <v>1345</v>
      </c>
      <c r="J532" s="246" t="s">
        <v>46</v>
      </c>
      <c r="K532" s="246" t="s">
        <v>1349</v>
      </c>
      <c r="L532" s="243"/>
      <c r="M532" s="197">
        <f>14.9*2+9.15*2+9.2-2.1*2</f>
        <v>53.099999999999994</v>
      </c>
      <c r="N532" s="197">
        <f t="shared" si="77"/>
        <v>43.899999999999991</v>
      </c>
      <c r="O532" s="197">
        <v>9.1999999999999993</v>
      </c>
      <c r="T532" s="197">
        <f t="shared" si="78"/>
        <v>17.110499999999995</v>
      </c>
      <c r="U532" s="197">
        <f t="shared" si="79"/>
        <v>5.04</v>
      </c>
      <c r="AP532" s="197">
        <f t="shared" si="80"/>
        <v>100.10249999999999</v>
      </c>
      <c r="AQ532" s="197">
        <f t="shared" si="81"/>
        <v>17.04</v>
      </c>
    </row>
    <row r="533" spans="1:51" ht="30" x14ac:dyDescent="0.2">
      <c r="A533" s="197">
        <v>607</v>
      </c>
      <c r="B533" s="197" t="s">
        <v>120</v>
      </c>
      <c r="C533" s="197" t="s">
        <v>114</v>
      </c>
      <c r="D533" s="246" t="s">
        <v>1447</v>
      </c>
      <c r="E533" s="243" t="s">
        <v>1412</v>
      </c>
      <c r="F533" s="247">
        <v>41.7</v>
      </c>
      <c r="G533" s="251" t="e">
        <f t="shared" si="76"/>
        <v>#VALUE!</v>
      </c>
      <c r="H533" s="246" t="s">
        <v>761</v>
      </c>
      <c r="I533" s="246" t="s">
        <v>1345</v>
      </c>
      <c r="J533" s="246" t="s">
        <v>317</v>
      </c>
      <c r="K533" s="246" t="s">
        <v>1349</v>
      </c>
      <c r="L533" s="243"/>
      <c r="M533" s="197">
        <f>14.9*2+9.25*2+9.2-2.1*2</f>
        <v>53.3</v>
      </c>
      <c r="N533" s="197">
        <f t="shared" si="77"/>
        <v>37.799999999999997</v>
      </c>
      <c r="O533" s="197">
        <v>9.1999999999999993</v>
      </c>
      <c r="P533" s="197">
        <v>6.3</v>
      </c>
      <c r="T533" s="197">
        <f t="shared" si="78"/>
        <v>17.110499999999995</v>
      </c>
      <c r="U533" s="197">
        <f t="shared" si="79"/>
        <v>5.04</v>
      </c>
      <c r="AP533" s="197">
        <f t="shared" si="80"/>
        <v>83.815499999999986</v>
      </c>
      <c r="AQ533" s="197">
        <f t="shared" si="81"/>
        <v>17.04</v>
      </c>
      <c r="AY533" s="197">
        <f>P533*2.67-V533</f>
        <v>16.820999999999998</v>
      </c>
    </row>
    <row r="534" spans="1:51" ht="30" x14ac:dyDescent="0.2">
      <c r="A534" s="239">
        <v>608</v>
      </c>
      <c r="B534" s="197" t="s">
        <v>120</v>
      </c>
      <c r="C534" s="197" t="s">
        <v>114</v>
      </c>
      <c r="D534" s="246" t="s">
        <v>1448</v>
      </c>
      <c r="E534" s="243" t="s">
        <v>1412</v>
      </c>
      <c r="F534" s="247">
        <v>41.7</v>
      </c>
      <c r="G534" s="251" t="e">
        <f t="shared" si="76"/>
        <v>#VALUE!</v>
      </c>
      <c r="H534" s="246" t="s">
        <v>761</v>
      </c>
      <c r="I534" s="246" t="s">
        <v>1345</v>
      </c>
      <c r="J534" s="246" t="s">
        <v>46</v>
      </c>
      <c r="K534" s="246" t="s">
        <v>1349</v>
      </c>
      <c r="L534" s="243"/>
      <c r="M534" s="197">
        <f>14.9*2+9.15*2+9.2-2.1*2</f>
        <v>53.099999999999994</v>
      </c>
      <c r="N534" s="197">
        <f t="shared" si="77"/>
        <v>43.899999999999991</v>
      </c>
      <c r="O534" s="197">
        <v>9.1999999999999993</v>
      </c>
      <c r="T534" s="197">
        <f t="shared" si="78"/>
        <v>17.110499999999995</v>
      </c>
      <c r="U534" s="197">
        <f t="shared" si="79"/>
        <v>5.04</v>
      </c>
      <c r="AP534" s="197">
        <f t="shared" si="80"/>
        <v>100.10249999999999</v>
      </c>
      <c r="AQ534" s="197">
        <f t="shared" si="81"/>
        <v>17.04</v>
      </c>
    </row>
    <row r="535" spans="1:51" ht="30" x14ac:dyDescent="0.2">
      <c r="A535" s="239">
        <v>609</v>
      </c>
      <c r="B535" s="197" t="s">
        <v>120</v>
      </c>
      <c r="C535" s="197" t="s">
        <v>114</v>
      </c>
      <c r="D535" s="246" t="s">
        <v>1449</v>
      </c>
      <c r="E535" s="243" t="s">
        <v>1412</v>
      </c>
      <c r="F535" s="247">
        <v>41.7</v>
      </c>
      <c r="G535" s="251" t="e">
        <f t="shared" si="76"/>
        <v>#VALUE!</v>
      </c>
      <c r="H535" s="246" t="s">
        <v>761</v>
      </c>
      <c r="I535" s="246" t="s">
        <v>1345</v>
      </c>
      <c r="J535" s="246" t="s">
        <v>317</v>
      </c>
      <c r="K535" s="246" t="s">
        <v>1349</v>
      </c>
      <c r="L535" s="243"/>
      <c r="M535" s="197">
        <f>14.9*2+9.25*2+9.2-2.1*2</f>
        <v>53.3</v>
      </c>
      <c r="N535" s="197">
        <f t="shared" si="77"/>
        <v>37.799999999999997</v>
      </c>
      <c r="O535" s="197">
        <v>9.1999999999999993</v>
      </c>
      <c r="P535" s="197">
        <v>6.3</v>
      </c>
      <c r="T535" s="197">
        <f t="shared" si="78"/>
        <v>17.110499999999995</v>
      </c>
      <c r="U535" s="197">
        <f t="shared" si="79"/>
        <v>5.04</v>
      </c>
      <c r="AP535" s="197">
        <f t="shared" si="80"/>
        <v>83.815499999999986</v>
      </c>
      <c r="AQ535" s="197">
        <f t="shared" si="81"/>
        <v>17.04</v>
      </c>
      <c r="AY535" s="197">
        <f>P535*2.67-V535</f>
        <v>16.820999999999998</v>
      </c>
    </row>
    <row r="536" spans="1:51" ht="30" x14ac:dyDescent="0.2">
      <c r="A536" s="197">
        <v>610</v>
      </c>
      <c r="B536" s="197" t="s">
        <v>120</v>
      </c>
      <c r="C536" s="197" t="s">
        <v>114</v>
      </c>
      <c r="D536" s="246" t="s">
        <v>1450</v>
      </c>
      <c r="E536" s="243" t="s">
        <v>1412</v>
      </c>
      <c r="F536" s="250">
        <v>41.7</v>
      </c>
      <c r="G536" s="251" t="e">
        <f t="shared" si="76"/>
        <v>#VALUE!</v>
      </c>
      <c r="H536" s="246" t="s">
        <v>761</v>
      </c>
      <c r="I536" s="246" t="s">
        <v>1345</v>
      </c>
      <c r="J536" s="246" t="s">
        <v>317</v>
      </c>
      <c r="K536" s="246" t="s">
        <v>1349</v>
      </c>
      <c r="L536" s="243"/>
      <c r="M536" s="197">
        <f>14.9*2+9.25*2+9.2-2.1*2</f>
        <v>53.3</v>
      </c>
      <c r="N536" s="197">
        <f t="shared" si="77"/>
        <v>37.799999999999997</v>
      </c>
      <c r="O536" s="197">
        <v>9.1999999999999993</v>
      </c>
      <c r="P536" s="197">
        <v>6.3</v>
      </c>
      <c r="T536" s="197">
        <f t="shared" si="78"/>
        <v>17.110499999999995</v>
      </c>
      <c r="U536" s="197">
        <f t="shared" si="79"/>
        <v>5.04</v>
      </c>
      <c r="AP536" s="197">
        <f t="shared" si="80"/>
        <v>83.815499999999986</v>
      </c>
      <c r="AQ536" s="197">
        <f t="shared" si="81"/>
        <v>17.04</v>
      </c>
      <c r="AY536" s="197">
        <f>P536*2.67-V536</f>
        <v>16.820999999999998</v>
      </c>
    </row>
  </sheetData>
  <sortState xmlns:xlrd2="http://schemas.microsoft.com/office/spreadsheetml/2017/richdata2" ref="A5:AZ537">
    <sortCondition ref="A5:A537"/>
  </sortState>
  <printOptions horizontalCentered="1"/>
  <pageMargins left="0.78740157480314965" right="0.78740157480314965" top="0.74803149606299213" bottom="0.74803149606299213" header="0.31496062992125984" footer="0.31496062992125984"/>
  <pageSetup paperSize="9" scale="1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C9728E-460B-4D6C-B3CB-11D1C3E8F883}">
  <sheetPr>
    <pageSetUpPr fitToPage="1"/>
  </sheetPr>
  <dimension ref="A1:BI555"/>
  <sheetViews>
    <sheetView view="pageBreakPreview" zoomScale="85" zoomScaleNormal="100" zoomScaleSheetLayoutView="85" workbookViewId="0">
      <selection activeCell="D1" sqref="D1"/>
    </sheetView>
  </sheetViews>
  <sheetFormatPr defaultRowHeight="15" x14ac:dyDescent="0.2"/>
  <cols>
    <col min="1" max="1" width="5.6640625" style="171" customWidth="1"/>
    <col min="2" max="2" width="6.1640625" style="171" customWidth="1"/>
    <col min="3" max="3" width="3.33203125" style="171" customWidth="1"/>
    <col min="4" max="4" width="8.83203125" style="12" customWidth="1"/>
    <col min="5" max="5" width="40.83203125" style="171" customWidth="1"/>
    <col min="6" max="6" width="9.5" style="228" customWidth="1"/>
    <col min="7" max="7" width="8.5" style="228" hidden="1" customWidth="1"/>
    <col min="8" max="8" width="12.83203125" style="229" hidden="1" customWidth="1"/>
    <col min="9" max="9" width="12.83203125" style="12" customWidth="1"/>
    <col min="10" max="10" width="20.83203125" style="12" hidden="1" customWidth="1"/>
    <col min="11" max="11" width="12.83203125" style="12" hidden="1" customWidth="1"/>
    <col min="12" max="12" width="18.5" style="12" hidden="1" customWidth="1"/>
    <col min="13" max="13" width="10.1640625" style="196" customWidth="1"/>
    <col min="14" max="18" width="6.5" style="196" customWidth="1"/>
    <col min="19" max="19" width="1.83203125" style="196" customWidth="1"/>
    <col min="20" max="24" width="6.5" style="196" customWidth="1"/>
    <col min="25" max="25" width="0" style="171" hidden="1" customWidth="1"/>
    <col min="26" max="27" width="9.33203125" style="197" hidden="1" customWidth="1"/>
    <col min="28" max="30" width="7.1640625" style="197" hidden="1" customWidth="1"/>
    <col min="31" max="31" width="8.83203125" style="197" hidden="1" customWidth="1"/>
    <col min="32" max="38" width="7.1640625" style="197" hidden="1" customWidth="1"/>
    <col min="39" max="39" width="10.1640625" style="197" hidden="1" customWidth="1"/>
    <col min="40" max="41" width="7.1640625" style="197" hidden="1" customWidth="1"/>
    <col min="42" max="42" width="10.5" style="197" hidden="1" customWidth="1"/>
    <col min="43" max="43" width="8.83203125" style="197" hidden="1" customWidth="1"/>
    <col min="44" max="52" width="7.1640625" style="197" hidden="1" customWidth="1"/>
    <col min="53" max="53" width="1.1640625" style="171" customWidth="1"/>
    <col min="54" max="54" width="7.6640625" style="171" customWidth="1"/>
    <col min="55" max="16384" width="9.33203125" style="171"/>
  </cols>
  <sheetData>
    <row r="1" spans="4:61" s="6" customFormat="1" ht="18.75" x14ac:dyDescent="0.2">
      <c r="D1" s="231" t="s">
        <v>1471</v>
      </c>
      <c r="F1" s="8"/>
      <c r="G1" s="8"/>
      <c r="H1" s="164"/>
      <c r="I1" s="7"/>
      <c r="J1" s="7"/>
      <c r="K1" s="7"/>
      <c r="L1" s="7"/>
      <c r="M1" s="165"/>
      <c r="N1" s="165"/>
      <c r="O1" s="165"/>
      <c r="P1" s="165"/>
      <c r="Q1" s="165"/>
      <c r="R1" s="165"/>
      <c r="S1" s="165"/>
      <c r="T1" s="165"/>
      <c r="U1" s="165"/>
      <c r="V1" s="165"/>
      <c r="W1" s="165"/>
      <c r="X1" s="165"/>
      <c r="Z1" s="166"/>
      <c r="AA1" s="166"/>
      <c r="AB1" s="166"/>
      <c r="AC1" s="166"/>
      <c r="AD1" s="166"/>
      <c r="AE1" s="166"/>
      <c r="AF1" s="166"/>
      <c r="AG1" s="166"/>
      <c r="AH1" s="166"/>
      <c r="AI1" s="166"/>
      <c r="AJ1" s="166"/>
      <c r="AK1" s="166"/>
      <c r="AL1" s="166"/>
      <c r="AM1" s="166"/>
      <c r="AN1" s="166"/>
      <c r="AO1" s="166"/>
      <c r="AP1" s="166"/>
      <c r="AQ1" s="166"/>
      <c r="AR1" s="166"/>
      <c r="AS1" s="166"/>
      <c r="AT1" s="166"/>
      <c r="AU1" s="166"/>
      <c r="AV1" s="166"/>
      <c r="AW1" s="166"/>
      <c r="AX1" s="166"/>
      <c r="AY1" s="166"/>
      <c r="AZ1" s="166"/>
    </row>
    <row r="2" spans="4:61" s="6" customFormat="1" x14ac:dyDescent="0.2">
      <c r="D2" s="7"/>
      <c r="F2" s="8"/>
      <c r="G2" s="8"/>
      <c r="H2" s="164"/>
      <c r="I2" s="7"/>
      <c r="J2" s="7"/>
      <c r="K2" s="7"/>
      <c r="L2" s="7"/>
      <c r="M2" s="165"/>
      <c r="N2" s="165"/>
      <c r="O2" s="165"/>
      <c r="P2" s="165"/>
      <c r="Q2" s="165"/>
      <c r="R2" s="165"/>
      <c r="S2" s="165"/>
      <c r="T2" s="165"/>
      <c r="U2" s="165"/>
      <c r="V2" s="165"/>
      <c r="W2" s="165"/>
      <c r="X2" s="165"/>
      <c r="Z2" s="166"/>
      <c r="AA2" s="166"/>
      <c r="AB2" s="166"/>
      <c r="AC2" s="166"/>
      <c r="AD2" s="166"/>
      <c r="AE2" s="166"/>
      <c r="AF2" s="166"/>
      <c r="AG2" s="166"/>
      <c r="AH2" s="166"/>
      <c r="AI2" s="166"/>
      <c r="AJ2" s="166"/>
      <c r="AK2" s="166"/>
      <c r="AL2" s="166"/>
      <c r="AM2" s="166"/>
      <c r="AN2" s="166"/>
      <c r="AO2" s="166"/>
      <c r="AP2" s="166"/>
      <c r="AQ2" s="166"/>
      <c r="AR2" s="166"/>
      <c r="AS2" s="166"/>
      <c r="AT2" s="166"/>
      <c r="AU2" s="166"/>
      <c r="AV2" s="166"/>
      <c r="AW2" s="166"/>
      <c r="AX2" s="166"/>
      <c r="AY2" s="166"/>
      <c r="AZ2" s="166"/>
    </row>
    <row r="3" spans="4:61" s="6" customFormat="1" x14ac:dyDescent="0.2">
      <c r="D3" s="7"/>
      <c r="F3" s="8"/>
      <c r="G3" s="8"/>
      <c r="H3" s="164"/>
      <c r="I3" s="7"/>
      <c r="J3" s="7"/>
      <c r="K3" s="7"/>
      <c r="L3" s="7"/>
      <c r="M3" s="165"/>
      <c r="N3" s="165"/>
      <c r="O3" s="165"/>
      <c r="P3" s="165"/>
      <c r="Q3" s="165"/>
      <c r="R3" s="165"/>
      <c r="S3" s="165"/>
      <c r="T3" s="165"/>
      <c r="U3" s="165"/>
      <c r="V3" s="165"/>
      <c r="W3" s="165"/>
      <c r="X3" s="165"/>
      <c r="Z3" s="166"/>
      <c r="AA3" s="166"/>
      <c r="AB3" s="166"/>
      <c r="AC3" s="166"/>
      <c r="AD3" s="166"/>
      <c r="AE3" s="166"/>
      <c r="AF3" s="166"/>
      <c r="AG3" s="166"/>
      <c r="AH3" s="166"/>
      <c r="AI3" s="166"/>
      <c r="AJ3" s="166"/>
      <c r="AK3" s="166"/>
      <c r="AL3" s="166"/>
      <c r="AM3" s="166"/>
      <c r="AN3" s="166"/>
      <c r="AO3" s="166"/>
      <c r="AP3" s="166"/>
      <c r="AQ3" s="166"/>
      <c r="AR3" s="166"/>
      <c r="AS3" s="166"/>
      <c r="AT3" s="166"/>
      <c r="AU3" s="166"/>
      <c r="AV3" s="166"/>
      <c r="AW3" s="166"/>
      <c r="AX3" s="166"/>
      <c r="AY3" s="166"/>
      <c r="AZ3" s="166"/>
    </row>
    <row r="4" spans="4:61" s="6" customFormat="1" x14ac:dyDescent="0.2">
      <c r="D4" s="7"/>
      <c r="E4" s="5" t="s">
        <v>523</v>
      </c>
      <c r="F4" s="167" t="s">
        <v>522</v>
      </c>
      <c r="G4" s="167"/>
      <c r="H4" s="168"/>
      <c r="I4" s="169">
        <v>1</v>
      </c>
      <c r="J4" s="17"/>
      <c r="K4" s="17"/>
      <c r="L4" s="17"/>
      <c r="M4" s="170" t="s">
        <v>268</v>
      </c>
      <c r="N4" s="165"/>
      <c r="O4" s="165"/>
      <c r="P4" s="165"/>
      <c r="Q4" s="165"/>
      <c r="R4" s="165"/>
      <c r="S4" s="165"/>
      <c r="T4" s="165"/>
      <c r="U4" s="165"/>
      <c r="V4" s="165"/>
      <c r="W4" s="165"/>
      <c r="X4" s="165"/>
      <c r="Z4" s="166"/>
      <c r="AA4" s="166"/>
      <c r="AB4" s="166"/>
      <c r="AC4" s="166"/>
      <c r="AD4" s="166"/>
      <c r="AE4" s="166"/>
      <c r="AF4" s="166"/>
      <c r="AG4" s="166"/>
      <c r="AH4" s="166"/>
      <c r="AI4" s="166"/>
      <c r="AJ4" s="166"/>
      <c r="AK4" s="166"/>
      <c r="AL4" s="166"/>
      <c r="AM4" s="166"/>
      <c r="AN4" s="166"/>
      <c r="AO4" s="166"/>
      <c r="AP4" s="166"/>
      <c r="AQ4" s="166"/>
      <c r="AR4" s="166"/>
      <c r="AS4" s="166"/>
      <c r="AT4" s="166"/>
      <c r="AU4" s="166"/>
      <c r="AV4" s="166"/>
      <c r="AW4" s="166"/>
      <c r="AX4" s="166"/>
      <c r="AY4" s="166"/>
      <c r="AZ4" s="166"/>
    </row>
    <row r="5" spans="4:61" s="6" customFormat="1" x14ac:dyDescent="0.2">
      <c r="D5" s="7"/>
      <c r="E5" s="171" t="s">
        <v>512</v>
      </c>
      <c r="F5" s="172">
        <f>I5-M5</f>
        <v>748.30600000000004</v>
      </c>
      <c r="G5" s="172"/>
      <c r="H5" s="173"/>
      <c r="I5" s="172">
        <f>SUM(BB28:BB60)</f>
        <v>880.36</v>
      </c>
      <c r="J5" s="172"/>
      <c r="K5" s="172"/>
      <c r="L5" s="172"/>
      <c r="M5" s="172">
        <f>I5*0.15</f>
        <v>132.054</v>
      </c>
      <c r="N5" s="165"/>
      <c r="O5" s="165"/>
      <c r="P5" s="165"/>
      <c r="Q5" s="165"/>
      <c r="R5" s="165"/>
      <c r="S5" s="165"/>
      <c r="T5" s="165"/>
      <c r="U5" s="165"/>
      <c r="V5" s="165"/>
      <c r="W5" s="165"/>
      <c r="X5" s="165"/>
      <c r="Z5" s="166"/>
      <c r="AA5" s="166"/>
      <c r="AB5" s="166"/>
      <c r="AC5" s="166"/>
      <c r="AD5" s="166"/>
      <c r="AE5" s="166"/>
      <c r="AF5" s="166"/>
      <c r="AG5" s="166"/>
      <c r="AH5" s="166"/>
      <c r="AI5" s="166"/>
      <c r="AJ5" s="166"/>
      <c r="AK5" s="166"/>
      <c r="AL5" s="166"/>
      <c r="AM5" s="166"/>
      <c r="AN5" s="166"/>
      <c r="AO5" s="166"/>
      <c r="AP5" s="166"/>
      <c r="AQ5" s="166"/>
      <c r="AR5" s="166"/>
      <c r="AS5" s="166"/>
      <c r="AT5" s="166"/>
      <c r="AU5" s="166"/>
      <c r="AV5" s="166"/>
      <c r="AW5" s="166"/>
      <c r="AX5" s="166"/>
      <c r="AY5" s="166"/>
      <c r="AZ5" s="166"/>
      <c r="BH5" s="174" t="s">
        <v>1452</v>
      </c>
      <c r="BI5" s="5" t="s">
        <v>506</v>
      </c>
    </row>
    <row r="6" spans="4:61" s="6" customFormat="1" x14ac:dyDescent="0.2">
      <c r="D6" s="7"/>
      <c r="E6" s="171" t="s">
        <v>513</v>
      </c>
      <c r="F6" s="172">
        <f t="shared" ref="F6:F16" si="0">I6-M6</f>
        <v>60.886875000000003</v>
      </c>
      <c r="G6" s="172"/>
      <c r="H6" s="173"/>
      <c r="I6" s="172">
        <f>SUM(BB297:BB299)</f>
        <v>69.585000000000008</v>
      </c>
      <c r="J6" s="172"/>
      <c r="K6" s="172"/>
      <c r="L6" s="172"/>
      <c r="M6" s="172">
        <f t="shared" ref="M6:M16" si="1">I6*0.125</f>
        <v>8.698125000000001</v>
      </c>
      <c r="N6" s="165"/>
      <c r="O6" s="165"/>
      <c r="P6" s="165"/>
      <c r="Q6" s="165"/>
      <c r="R6" s="165"/>
      <c r="S6" s="165"/>
      <c r="T6" s="165"/>
      <c r="U6" s="165"/>
      <c r="V6" s="165"/>
      <c r="W6" s="165"/>
      <c r="X6" s="165"/>
      <c r="Z6" s="166"/>
      <c r="AA6" s="166"/>
      <c r="AB6" s="166"/>
      <c r="AC6" s="166"/>
      <c r="AD6" s="166"/>
      <c r="AE6" s="166"/>
      <c r="AF6" s="166"/>
      <c r="AG6" s="166"/>
      <c r="AH6" s="166"/>
      <c r="AI6" s="166"/>
      <c r="AJ6" s="166"/>
      <c r="AK6" s="166"/>
      <c r="AL6" s="166"/>
      <c r="AM6" s="166"/>
      <c r="AN6" s="166"/>
      <c r="AO6" s="166"/>
      <c r="AP6" s="166"/>
      <c r="AQ6" s="166"/>
      <c r="AR6" s="166"/>
      <c r="AS6" s="166"/>
      <c r="AT6" s="166"/>
      <c r="AU6" s="166"/>
      <c r="AV6" s="166"/>
      <c r="AW6" s="166"/>
      <c r="AX6" s="166"/>
      <c r="AY6" s="166"/>
      <c r="AZ6" s="166"/>
      <c r="BH6" s="174" t="s">
        <v>1453</v>
      </c>
      <c r="BI6" s="5" t="s">
        <v>501</v>
      </c>
    </row>
    <row r="7" spans="4:61" s="6" customFormat="1" x14ac:dyDescent="0.2">
      <c r="D7" s="7"/>
      <c r="E7" s="171" t="s">
        <v>514</v>
      </c>
      <c r="F7" s="172">
        <f t="shared" si="0"/>
        <v>23.238</v>
      </c>
      <c r="G7" s="172"/>
      <c r="H7" s="173"/>
      <c r="I7" s="172">
        <f>SUM(BB65)</f>
        <v>25.82</v>
      </c>
      <c r="J7" s="172"/>
      <c r="K7" s="172"/>
      <c r="L7" s="172"/>
      <c r="M7" s="172">
        <f>I7*0.1</f>
        <v>2.5820000000000003</v>
      </c>
      <c r="N7" s="165"/>
      <c r="O7" s="165"/>
      <c r="P7" s="165"/>
      <c r="Q7" s="165"/>
      <c r="R7" s="165"/>
      <c r="S7" s="165"/>
      <c r="T7" s="165"/>
      <c r="U7" s="165"/>
      <c r="V7" s="165"/>
      <c r="W7" s="165"/>
      <c r="X7" s="165"/>
      <c r="Z7" s="166"/>
      <c r="AA7" s="166"/>
      <c r="AB7" s="166"/>
      <c r="AC7" s="166"/>
      <c r="AD7" s="166"/>
      <c r="AE7" s="166"/>
      <c r="AF7" s="166"/>
      <c r="AG7" s="166"/>
      <c r="AH7" s="166"/>
      <c r="AI7" s="166"/>
      <c r="AJ7" s="166"/>
      <c r="AK7" s="166"/>
      <c r="AL7" s="166"/>
      <c r="AM7" s="166"/>
      <c r="AN7" s="166"/>
      <c r="AO7" s="166"/>
      <c r="AP7" s="166"/>
      <c r="AQ7" s="166"/>
      <c r="AR7" s="166"/>
      <c r="AS7" s="166"/>
      <c r="AT7" s="166"/>
      <c r="AU7" s="166"/>
      <c r="AV7" s="166"/>
      <c r="AW7" s="166"/>
      <c r="AX7" s="166"/>
      <c r="AY7" s="166"/>
      <c r="AZ7" s="166"/>
      <c r="BH7" s="174" t="s">
        <v>1454</v>
      </c>
      <c r="BI7" s="5" t="s">
        <v>502</v>
      </c>
    </row>
    <row r="8" spans="4:61" s="6" customFormat="1" x14ac:dyDescent="0.2">
      <c r="D8" s="7"/>
      <c r="E8" s="171" t="s">
        <v>515</v>
      </c>
      <c r="F8" s="172">
        <f t="shared" si="0"/>
        <v>81.681250000000006</v>
      </c>
      <c r="G8" s="172"/>
      <c r="H8" s="173"/>
      <c r="I8" s="172">
        <f>SUM(BB256:BB259)</f>
        <v>93.350000000000009</v>
      </c>
      <c r="J8" s="172"/>
      <c r="K8" s="172"/>
      <c r="L8" s="172"/>
      <c r="M8" s="172">
        <f t="shared" si="1"/>
        <v>11.668750000000001</v>
      </c>
      <c r="N8" s="165"/>
      <c r="O8" s="165"/>
      <c r="P8" s="165"/>
      <c r="Q8" s="165"/>
      <c r="R8" s="165"/>
      <c r="S8" s="165"/>
      <c r="T8" s="165"/>
      <c r="U8" s="165"/>
      <c r="V8" s="165"/>
      <c r="W8" s="165"/>
      <c r="X8" s="165"/>
      <c r="Z8" s="166"/>
      <c r="AA8" s="166"/>
      <c r="AB8" s="166"/>
      <c r="AC8" s="166"/>
      <c r="AD8" s="166"/>
      <c r="AE8" s="166"/>
      <c r="AF8" s="166"/>
      <c r="AG8" s="166"/>
      <c r="AH8" s="166"/>
      <c r="AI8" s="166"/>
      <c r="AJ8" s="166"/>
      <c r="AK8" s="166"/>
      <c r="AL8" s="166"/>
      <c r="AM8" s="166"/>
      <c r="AN8" s="166"/>
      <c r="AO8" s="166"/>
      <c r="AP8" s="166"/>
      <c r="AQ8" s="166"/>
      <c r="AR8" s="166"/>
      <c r="AS8" s="166"/>
      <c r="AT8" s="166"/>
      <c r="AU8" s="166"/>
      <c r="AV8" s="166"/>
      <c r="AW8" s="166"/>
      <c r="AX8" s="166"/>
      <c r="AY8" s="166"/>
      <c r="AZ8" s="166"/>
      <c r="BH8" s="174" t="s">
        <v>1455</v>
      </c>
      <c r="BI8" s="5" t="s">
        <v>503</v>
      </c>
    </row>
    <row r="9" spans="4:61" s="6" customFormat="1" x14ac:dyDescent="0.2">
      <c r="D9" s="7"/>
      <c r="E9" s="171" t="s">
        <v>516</v>
      </c>
      <c r="F9" s="172">
        <f t="shared" si="0"/>
        <v>201.32437499999997</v>
      </c>
      <c r="G9" s="172"/>
      <c r="H9" s="173"/>
      <c r="I9" s="172">
        <f>SUM(BB300:BB314)</f>
        <v>230.08499999999998</v>
      </c>
      <c r="J9" s="172"/>
      <c r="K9" s="172"/>
      <c r="L9" s="172"/>
      <c r="M9" s="172">
        <f t="shared" si="1"/>
        <v>28.760624999999997</v>
      </c>
      <c r="N9" s="165"/>
      <c r="O9" s="165"/>
      <c r="P9" s="165"/>
      <c r="Q9" s="165"/>
      <c r="R9" s="165"/>
      <c r="S9" s="165"/>
      <c r="T9" s="165"/>
      <c r="U9" s="165"/>
      <c r="V9" s="165"/>
      <c r="W9" s="165"/>
      <c r="X9" s="165"/>
      <c r="Z9" s="166"/>
      <c r="AA9" s="166"/>
      <c r="AB9" s="166"/>
      <c r="AC9" s="166"/>
      <c r="AD9" s="166"/>
      <c r="AE9" s="166"/>
      <c r="AF9" s="166"/>
      <c r="AG9" s="166"/>
      <c r="AH9" s="166"/>
      <c r="AI9" s="166"/>
      <c r="AJ9" s="166"/>
      <c r="AK9" s="166"/>
      <c r="AL9" s="166"/>
      <c r="AM9" s="166"/>
      <c r="AN9" s="166"/>
      <c r="AO9" s="166"/>
      <c r="AP9" s="166"/>
      <c r="AQ9" s="166"/>
      <c r="AR9" s="166"/>
      <c r="AS9" s="166"/>
      <c r="AT9" s="166"/>
      <c r="AU9" s="166"/>
      <c r="AV9" s="166"/>
      <c r="AW9" s="166"/>
      <c r="AX9" s="166"/>
      <c r="AY9" s="166"/>
      <c r="AZ9" s="166"/>
      <c r="BH9" s="174" t="s">
        <v>1456</v>
      </c>
      <c r="BI9" s="5" t="s">
        <v>504</v>
      </c>
    </row>
    <row r="10" spans="4:61" s="6" customFormat="1" x14ac:dyDescent="0.2">
      <c r="D10" s="7"/>
      <c r="E10" s="171" t="s">
        <v>602</v>
      </c>
      <c r="F10" s="172">
        <f t="shared" ref="F10" si="2">I10-M10</f>
        <v>371.07900000000012</v>
      </c>
      <c r="G10" s="172"/>
      <c r="H10" s="173"/>
      <c r="I10" s="172">
        <f>SUM(BB66,BB148:BB152,BB163:BB189,BB233:BB239,BB295,BB379,BB462:BB464)</f>
        <v>412.31000000000012</v>
      </c>
      <c r="J10" s="172"/>
      <c r="K10" s="172"/>
      <c r="L10" s="172"/>
      <c r="M10" s="172">
        <f>I10*0.1</f>
        <v>41.231000000000016</v>
      </c>
      <c r="N10" s="165"/>
      <c r="O10" s="165"/>
      <c r="P10" s="165"/>
      <c r="Q10" s="165"/>
      <c r="R10" s="165"/>
      <c r="S10" s="165"/>
      <c r="T10" s="165"/>
      <c r="U10" s="165"/>
      <c r="V10" s="165"/>
      <c r="W10" s="165"/>
      <c r="X10" s="165"/>
      <c r="Z10" s="166"/>
      <c r="AA10" s="166"/>
      <c r="AB10" s="166"/>
      <c r="AC10" s="166"/>
      <c r="AD10" s="166"/>
      <c r="AE10" s="166"/>
      <c r="AF10" s="166"/>
      <c r="AG10" s="166"/>
      <c r="AH10" s="166"/>
      <c r="AI10" s="166"/>
      <c r="AJ10" s="166"/>
      <c r="AK10" s="166"/>
      <c r="AL10" s="166"/>
      <c r="AM10" s="166"/>
      <c r="AN10" s="166"/>
      <c r="AO10" s="166"/>
      <c r="AP10" s="166"/>
      <c r="AQ10" s="166"/>
      <c r="AR10" s="166"/>
      <c r="AS10" s="166"/>
      <c r="AT10" s="166"/>
      <c r="AU10" s="166"/>
      <c r="AV10" s="166"/>
      <c r="AW10" s="166"/>
      <c r="AX10" s="166"/>
      <c r="AY10" s="166"/>
      <c r="AZ10" s="166"/>
      <c r="BH10" s="174"/>
      <c r="BI10" s="5"/>
    </row>
    <row r="11" spans="4:61" s="6" customFormat="1" x14ac:dyDescent="0.2">
      <c r="D11" s="7"/>
      <c r="E11" s="175" t="s">
        <v>517</v>
      </c>
      <c r="F11" s="176">
        <f t="shared" si="0"/>
        <v>277.55550000000005</v>
      </c>
      <c r="G11" s="176"/>
      <c r="H11" s="177"/>
      <c r="I11" s="176">
        <f>SUM(BB143:BB162,BB231:BB232,BB285:BB296)</f>
        <v>308.39500000000004</v>
      </c>
      <c r="J11" s="176"/>
      <c r="K11" s="176"/>
      <c r="L11" s="176"/>
      <c r="M11" s="176">
        <f>I11*0.1</f>
        <v>30.839500000000005</v>
      </c>
      <c r="N11" s="165"/>
      <c r="O11" s="165"/>
      <c r="P11" s="165"/>
      <c r="Q11" s="165"/>
      <c r="R11" s="165"/>
      <c r="S11" s="165"/>
      <c r="T11" s="165"/>
      <c r="U11" s="165"/>
      <c r="V11" s="165"/>
      <c r="W11" s="165"/>
      <c r="X11" s="165"/>
      <c r="Z11" s="166"/>
      <c r="AA11" s="166"/>
      <c r="AB11" s="166"/>
      <c r="AC11" s="166"/>
      <c r="AD11" s="166"/>
      <c r="AE11" s="166"/>
      <c r="AF11" s="166"/>
      <c r="AG11" s="166"/>
      <c r="AH11" s="166"/>
      <c r="AI11" s="166"/>
      <c r="AJ11" s="166"/>
      <c r="AK11" s="166"/>
      <c r="AL11" s="166"/>
      <c r="AM11" s="166"/>
      <c r="AN11" s="166"/>
      <c r="AO11" s="166"/>
      <c r="AP11" s="166"/>
      <c r="AQ11" s="166"/>
      <c r="AR11" s="166"/>
      <c r="AS11" s="166"/>
      <c r="AT11" s="166"/>
      <c r="AU11" s="166"/>
      <c r="AV11" s="166"/>
      <c r="AW11" s="166"/>
      <c r="AX11" s="166"/>
      <c r="AY11" s="166"/>
      <c r="AZ11" s="166"/>
      <c r="BH11" s="178" t="s">
        <v>57</v>
      </c>
      <c r="BI11" s="5" t="s">
        <v>504</v>
      </c>
    </row>
    <row r="12" spans="4:61" s="6" customFormat="1" x14ac:dyDescent="0.2">
      <c r="D12" s="7"/>
      <c r="E12" s="175" t="s">
        <v>518</v>
      </c>
      <c r="F12" s="176">
        <f t="shared" si="0"/>
        <v>301.54500000000007</v>
      </c>
      <c r="G12" s="176"/>
      <c r="H12" s="177"/>
      <c r="I12" s="176">
        <f>SUM(BB163:BB189,BB233:BB239)</f>
        <v>335.05000000000007</v>
      </c>
      <c r="J12" s="176"/>
      <c r="K12" s="176"/>
      <c r="L12" s="176"/>
      <c r="M12" s="176">
        <f>I12*0.1</f>
        <v>33.50500000000001</v>
      </c>
      <c r="N12" s="165"/>
      <c r="O12" s="165"/>
      <c r="P12" s="165"/>
      <c r="Q12" s="165"/>
      <c r="R12" s="165"/>
      <c r="S12" s="165"/>
      <c r="T12" s="165"/>
      <c r="U12" s="165"/>
      <c r="V12" s="165"/>
      <c r="W12" s="165"/>
      <c r="X12" s="165"/>
      <c r="Z12" s="166"/>
      <c r="AA12" s="166"/>
      <c r="AB12" s="166"/>
      <c r="AC12" s="166"/>
      <c r="AD12" s="166"/>
      <c r="AE12" s="166"/>
      <c r="AF12" s="166"/>
      <c r="AG12" s="166"/>
      <c r="AH12" s="166"/>
      <c r="AI12" s="166"/>
      <c r="AJ12" s="166"/>
      <c r="AK12" s="166"/>
      <c r="AL12" s="166"/>
      <c r="AM12" s="166"/>
      <c r="AN12" s="166"/>
      <c r="AO12" s="166"/>
      <c r="AP12" s="166"/>
      <c r="AQ12" s="166"/>
      <c r="AR12" s="166"/>
      <c r="AS12" s="166"/>
      <c r="AT12" s="166"/>
      <c r="AU12" s="166"/>
      <c r="AV12" s="166"/>
      <c r="AW12" s="166"/>
      <c r="AX12" s="166"/>
      <c r="AY12" s="166"/>
      <c r="AZ12" s="166"/>
      <c r="BH12" s="174" t="s">
        <v>1457</v>
      </c>
      <c r="BI12" s="5" t="s">
        <v>507</v>
      </c>
    </row>
    <row r="13" spans="4:61" s="6" customFormat="1" x14ac:dyDescent="0.2">
      <c r="D13" s="7"/>
      <c r="E13" s="171" t="s">
        <v>519</v>
      </c>
      <c r="F13" s="172">
        <f t="shared" si="0"/>
        <v>3345.0301999999983</v>
      </c>
      <c r="G13" s="172"/>
      <c r="H13" s="173"/>
      <c r="I13" s="172">
        <f>SUM(BB66:BB142,BB276:BB284,BB318:BB331,BB227:BB230)</f>
        <v>3889.5699999999979</v>
      </c>
      <c r="J13" s="172"/>
      <c r="K13" s="172"/>
      <c r="L13" s="172"/>
      <c r="M13" s="172">
        <f>I13*0.14</f>
        <v>544.53979999999979</v>
      </c>
      <c r="N13" s="165"/>
      <c r="O13" s="165"/>
      <c r="P13" s="165"/>
      <c r="Q13" s="165"/>
      <c r="R13" s="165"/>
      <c r="S13" s="165"/>
      <c r="T13" s="165"/>
      <c r="U13" s="165"/>
      <c r="V13" s="165"/>
      <c r="W13" s="165"/>
      <c r="X13" s="165"/>
      <c r="Z13" s="166"/>
      <c r="AA13" s="166"/>
      <c r="AB13" s="166"/>
      <c r="AC13" s="166"/>
      <c r="AD13" s="166"/>
      <c r="AE13" s="166"/>
      <c r="AF13" s="166"/>
      <c r="AG13" s="166"/>
      <c r="AH13" s="166"/>
      <c r="AI13" s="166"/>
      <c r="AJ13" s="166"/>
      <c r="AK13" s="166"/>
      <c r="AL13" s="166"/>
      <c r="AM13" s="166"/>
      <c r="AN13" s="166"/>
      <c r="AO13" s="166"/>
      <c r="AP13" s="166"/>
      <c r="AQ13" s="166"/>
      <c r="AR13" s="166"/>
      <c r="AS13" s="166"/>
      <c r="AT13" s="166"/>
      <c r="AU13" s="166"/>
      <c r="AV13" s="166"/>
      <c r="AW13" s="166"/>
      <c r="AX13" s="166"/>
      <c r="AY13" s="166"/>
      <c r="AZ13" s="166"/>
      <c r="BH13" s="179" t="s">
        <v>67</v>
      </c>
      <c r="BI13" s="5" t="s">
        <v>505</v>
      </c>
    </row>
    <row r="14" spans="4:61" s="6" customFormat="1" x14ac:dyDescent="0.2">
      <c r="D14" s="7"/>
      <c r="E14" s="171" t="s">
        <v>524</v>
      </c>
      <c r="F14" s="172">
        <f t="shared" si="0"/>
        <v>96</v>
      </c>
      <c r="G14" s="172"/>
      <c r="H14" s="173"/>
      <c r="I14" s="172">
        <f>SUM(BB241:BB250)</f>
        <v>96</v>
      </c>
      <c r="J14" s="172"/>
      <c r="K14" s="172"/>
      <c r="L14" s="172"/>
      <c r="M14" s="172">
        <v>0</v>
      </c>
      <c r="N14" s="165"/>
      <c r="O14" s="165"/>
      <c r="P14" s="165"/>
      <c r="Q14" s="165"/>
      <c r="R14" s="165"/>
      <c r="S14" s="165"/>
      <c r="T14" s="165"/>
      <c r="U14" s="165"/>
      <c r="V14" s="165"/>
      <c r="W14" s="165"/>
      <c r="X14" s="165"/>
      <c r="Z14" s="166"/>
      <c r="AA14" s="166"/>
      <c r="AB14" s="166"/>
      <c r="AC14" s="166"/>
      <c r="AD14" s="166"/>
      <c r="AE14" s="166"/>
      <c r="AF14" s="166"/>
      <c r="AG14" s="166"/>
      <c r="AH14" s="166"/>
      <c r="AI14" s="166"/>
      <c r="AJ14" s="166"/>
      <c r="AK14" s="166"/>
      <c r="AL14" s="166"/>
      <c r="AM14" s="166"/>
      <c r="AN14" s="166"/>
      <c r="AO14" s="166"/>
      <c r="AP14" s="166"/>
      <c r="AQ14" s="166"/>
      <c r="AR14" s="166"/>
      <c r="AS14" s="166"/>
      <c r="AT14" s="166"/>
      <c r="AU14" s="166"/>
      <c r="AV14" s="166"/>
      <c r="AW14" s="166"/>
      <c r="AX14" s="166"/>
      <c r="AY14" s="166"/>
      <c r="AZ14" s="166"/>
      <c r="BH14" s="174" t="s">
        <v>1458</v>
      </c>
      <c r="BI14" s="5" t="s">
        <v>502</v>
      </c>
    </row>
    <row r="15" spans="4:61" s="6" customFormat="1" x14ac:dyDescent="0.2">
      <c r="D15" s="7"/>
      <c r="E15" s="171" t="s">
        <v>520</v>
      </c>
      <c r="F15" s="172">
        <f t="shared" si="0"/>
        <v>699.97812499999986</v>
      </c>
      <c r="G15" s="172"/>
      <c r="H15" s="173"/>
      <c r="I15" s="172">
        <f>SUM(BB260:BB275,BB315:BB317)</f>
        <v>799.97499999999991</v>
      </c>
      <c r="J15" s="172"/>
      <c r="K15" s="172"/>
      <c r="L15" s="172"/>
      <c r="M15" s="172">
        <f t="shared" si="1"/>
        <v>99.996874999999989</v>
      </c>
      <c r="N15" s="165"/>
      <c r="O15" s="165"/>
      <c r="P15" s="165"/>
      <c r="Q15" s="165"/>
      <c r="R15" s="165"/>
      <c r="S15" s="165"/>
      <c r="T15" s="165"/>
      <c r="U15" s="165"/>
      <c r="V15" s="165"/>
      <c r="W15" s="165"/>
      <c r="X15" s="165"/>
      <c r="Z15" s="166"/>
      <c r="AA15" s="166"/>
      <c r="AB15" s="166"/>
      <c r="AC15" s="166"/>
      <c r="AD15" s="166"/>
      <c r="AE15" s="166"/>
      <c r="AF15" s="166"/>
      <c r="AG15" s="166"/>
      <c r="AH15" s="166"/>
      <c r="AI15" s="166"/>
      <c r="AJ15" s="166"/>
      <c r="AK15" s="166"/>
      <c r="AL15" s="166"/>
      <c r="AM15" s="166"/>
      <c r="AN15" s="166"/>
      <c r="AO15" s="166"/>
      <c r="AP15" s="166"/>
      <c r="AQ15" s="166"/>
      <c r="AR15" s="166"/>
      <c r="AS15" s="166"/>
      <c r="AT15" s="166"/>
      <c r="AU15" s="166"/>
      <c r="AV15" s="166"/>
      <c r="AW15" s="166"/>
      <c r="AX15" s="166"/>
      <c r="AY15" s="166"/>
      <c r="AZ15" s="166"/>
      <c r="BH15" s="174" t="s">
        <v>1459</v>
      </c>
      <c r="BI15" s="5" t="s">
        <v>503</v>
      </c>
    </row>
    <row r="16" spans="4:61" s="6" customFormat="1" x14ac:dyDescent="0.2">
      <c r="D16" s="7"/>
      <c r="E16" s="171" t="s">
        <v>521</v>
      </c>
      <c r="F16" s="172">
        <f t="shared" si="0"/>
        <v>1271.2699999999998</v>
      </c>
      <c r="G16" s="172"/>
      <c r="H16" s="173"/>
      <c r="I16" s="172">
        <f>SUM(BB61:BB63,BB190:BB226,BB240)</f>
        <v>1452.8799999999997</v>
      </c>
      <c r="J16" s="172"/>
      <c r="K16" s="172"/>
      <c r="L16" s="172"/>
      <c r="M16" s="172">
        <f t="shared" si="1"/>
        <v>181.60999999999996</v>
      </c>
      <c r="N16" s="165"/>
      <c r="O16" s="165"/>
      <c r="P16" s="165"/>
      <c r="Q16" s="165"/>
      <c r="R16" s="165"/>
      <c r="S16" s="165"/>
      <c r="T16" s="165"/>
      <c r="U16" s="165"/>
      <c r="V16" s="165"/>
      <c r="W16" s="165"/>
      <c r="X16" s="165"/>
      <c r="Z16" s="166"/>
      <c r="AA16" s="166"/>
      <c r="AB16" s="166"/>
      <c r="AC16" s="166"/>
      <c r="AD16" s="166"/>
      <c r="AE16" s="166"/>
      <c r="AF16" s="166"/>
      <c r="AG16" s="166"/>
      <c r="AH16" s="166"/>
      <c r="AI16" s="166"/>
      <c r="AJ16" s="166"/>
      <c r="AK16" s="166"/>
      <c r="AL16" s="166"/>
      <c r="AM16" s="166"/>
      <c r="AN16" s="166"/>
      <c r="AO16" s="166"/>
      <c r="AP16" s="166"/>
      <c r="AQ16" s="166"/>
      <c r="AR16" s="166"/>
      <c r="AS16" s="166"/>
      <c r="AT16" s="166"/>
      <c r="AU16" s="166"/>
      <c r="AV16" s="166"/>
      <c r="AW16" s="166"/>
      <c r="AX16" s="166"/>
      <c r="AY16" s="166"/>
      <c r="AZ16" s="166"/>
      <c r="BH16" s="174" t="s">
        <v>1460</v>
      </c>
      <c r="BI16" s="5" t="s">
        <v>508</v>
      </c>
    </row>
    <row r="17" spans="1:61" s="6" customFormat="1" x14ac:dyDescent="0.2">
      <c r="D17" s="7"/>
      <c r="F17" s="8"/>
      <c r="G17" s="8"/>
      <c r="H17" s="164"/>
      <c r="I17" s="7"/>
      <c r="J17" s="7"/>
      <c r="K17" s="7"/>
      <c r="L17" s="7"/>
      <c r="M17" s="165"/>
      <c r="N17" s="165"/>
      <c r="O17" s="165"/>
      <c r="P17" s="165"/>
      <c r="Q17" s="165"/>
      <c r="R17" s="165"/>
      <c r="S17" s="165"/>
      <c r="T17" s="165"/>
      <c r="U17" s="165"/>
      <c r="V17" s="165"/>
      <c r="W17" s="165"/>
      <c r="X17" s="165"/>
      <c r="Z17" s="166"/>
      <c r="AA17" s="166"/>
      <c r="AB17" s="166"/>
      <c r="AC17" s="166"/>
      <c r="AD17" s="166"/>
      <c r="AE17" s="166"/>
      <c r="AF17" s="166"/>
      <c r="AG17" s="166"/>
      <c r="AH17" s="166"/>
      <c r="AI17" s="166"/>
      <c r="AJ17" s="166"/>
      <c r="AK17" s="166"/>
      <c r="AL17" s="166"/>
      <c r="AM17" s="166"/>
      <c r="AN17" s="166"/>
      <c r="AO17" s="166"/>
      <c r="AP17" s="166"/>
      <c r="AQ17" s="166"/>
      <c r="AR17" s="166"/>
      <c r="AS17" s="166"/>
      <c r="AT17" s="166"/>
      <c r="AU17" s="166"/>
      <c r="AV17" s="166"/>
      <c r="AW17" s="166"/>
      <c r="AX17" s="166"/>
      <c r="AY17" s="166"/>
      <c r="AZ17" s="166"/>
      <c r="BH17" s="180" t="s">
        <v>500</v>
      </c>
      <c r="BI17" s="6" t="s">
        <v>510</v>
      </c>
    </row>
    <row r="18" spans="1:61" s="6" customFormat="1" x14ac:dyDescent="0.2">
      <c r="D18" s="7"/>
      <c r="E18" s="6" t="s">
        <v>510</v>
      </c>
      <c r="F18" s="8"/>
      <c r="G18" s="8"/>
      <c r="H18" s="164"/>
      <c r="I18" s="181">
        <f>SUM(BB64)</f>
        <v>15.239999999999998</v>
      </c>
      <c r="J18" s="7"/>
      <c r="K18" s="7"/>
      <c r="L18" s="7"/>
      <c r="M18" s="165"/>
      <c r="N18" s="165"/>
      <c r="O18" s="165"/>
      <c r="P18" s="165"/>
      <c r="Q18" s="165"/>
      <c r="R18" s="165"/>
      <c r="S18" s="165"/>
      <c r="T18" s="165"/>
      <c r="U18" s="165"/>
      <c r="V18" s="165"/>
      <c r="W18" s="165"/>
      <c r="X18" s="165"/>
      <c r="Z18" s="166"/>
      <c r="AA18" s="166"/>
      <c r="AB18" s="166"/>
      <c r="AC18" s="166"/>
      <c r="AD18" s="166"/>
      <c r="AE18" s="166"/>
      <c r="AF18" s="166"/>
      <c r="AG18" s="166"/>
      <c r="AH18" s="166"/>
      <c r="AI18" s="166"/>
      <c r="AJ18" s="166"/>
      <c r="AK18" s="166"/>
      <c r="AL18" s="166"/>
      <c r="AM18" s="166"/>
      <c r="AN18" s="166"/>
      <c r="AO18" s="166"/>
      <c r="AP18" s="166"/>
      <c r="AQ18" s="166"/>
      <c r="AR18" s="166"/>
      <c r="AS18" s="166"/>
      <c r="AT18" s="166"/>
      <c r="AU18" s="166"/>
      <c r="AV18" s="166"/>
      <c r="AW18" s="166"/>
      <c r="AX18" s="166"/>
      <c r="AY18" s="166"/>
      <c r="AZ18" s="166"/>
      <c r="BH18" s="174" t="s">
        <v>1461</v>
      </c>
      <c r="BI18" s="5" t="s">
        <v>509</v>
      </c>
    </row>
    <row r="19" spans="1:61" s="6" customFormat="1" x14ac:dyDescent="0.2">
      <c r="D19" s="7"/>
      <c r="E19" s="6" t="s">
        <v>123</v>
      </c>
      <c r="F19" s="8"/>
      <c r="G19" s="8"/>
      <c r="H19" s="164"/>
      <c r="I19" s="181">
        <f>SUM(BB251:BB255)</f>
        <v>76.099999999999994</v>
      </c>
      <c r="J19" s="7"/>
      <c r="K19" s="7"/>
      <c r="L19" s="7"/>
      <c r="M19" s="165"/>
      <c r="N19" s="165"/>
      <c r="O19" s="165"/>
      <c r="P19" s="165"/>
      <c r="Q19" s="165"/>
      <c r="R19" s="165"/>
      <c r="S19" s="165"/>
      <c r="T19" s="165"/>
      <c r="U19" s="165"/>
      <c r="V19" s="165"/>
      <c r="W19" s="165"/>
      <c r="X19" s="165"/>
      <c r="Z19" s="166"/>
      <c r="AA19" s="166"/>
      <c r="AB19" s="166"/>
      <c r="AC19" s="166"/>
      <c r="AD19" s="166"/>
      <c r="AE19" s="166"/>
      <c r="AF19" s="166"/>
      <c r="AG19" s="166"/>
      <c r="AH19" s="166"/>
      <c r="AI19" s="166"/>
      <c r="AJ19" s="166"/>
      <c r="AK19" s="166"/>
      <c r="AL19" s="166"/>
      <c r="AM19" s="166"/>
      <c r="AN19" s="166"/>
      <c r="AO19" s="166"/>
      <c r="AP19" s="166"/>
      <c r="AQ19" s="166"/>
      <c r="AR19" s="166"/>
      <c r="AS19" s="166"/>
      <c r="AT19" s="166"/>
      <c r="AU19" s="166"/>
      <c r="AV19" s="166"/>
      <c r="AW19" s="166"/>
      <c r="AX19" s="166"/>
      <c r="AY19" s="166"/>
      <c r="AZ19" s="166"/>
      <c r="BH19" s="174" t="s">
        <v>1462</v>
      </c>
      <c r="BI19" s="5" t="s">
        <v>503</v>
      </c>
    </row>
    <row r="20" spans="1:61" s="6" customFormat="1" x14ac:dyDescent="0.2">
      <c r="D20" s="7"/>
      <c r="F20" s="8"/>
      <c r="G20" s="8"/>
      <c r="H20" s="164"/>
      <c r="I20" s="7"/>
      <c r="J20" s="7"/>
      <c r="K20" s="7"/>
      <c r="L20" s="7"/>
      <c r="M20" s="165"/>
      <c r="N20" s="165"/>
      <c r="O20" s="165"/>
      <c r="P20" s="165"/>
      <c r="Q20" s="165"/>
      <c r="R20" s="165"/>
      <c r="S20" s="165"/>
      <c r="T20" s="165"/>
      <c r="U20" s="165"/>
      <c r="V20" s="165"/>
      <c r="W20" s="165"/>
      <c r="X20" s="165"/>
      <c r="Z20" s="166"/>
      <c r="AA20" s="166"/>
      <c r="AB20" s="166"/>
      <c r="AC20" s="166"/>
      <c r="AD20" s="166"/>
      <c r="AE20" s="166"/>
      <c r="AF20" s="166"/>
      <c r="AG20" s="166"/>
      <c r="AH20" s="166"/>
      <c r="AI20" s="166"/>
      <c r="AJ20" s="166"/>
      <c r="AK20" s="166"/>
      <c r="AL20" s="166"/>
      <c r="AM20" s="166"/>
      <c r="AN20" s="166"/>
      <c r="AO20" s="166"/>
      <c r="AP20" s="166"/>
      <c r="AQ20" s="166"/>
      <c r="AR20" s="166"/>
      <c r="AS20" s="166"/>
      <c r="AT20" s="166"/>
      <c r="AU20" s="166"/>
      <c r="AV20" s="166"/>
      <c r="AW20" s="166"/>
      <c r="AX20" s="166"/>
      <c r="AY20" s="166"/>
      <c r="AZ20" s="166"/>
      <c r="BH20" s="182" t="s">
        <v>608</v>
      </c>
    </row>
    <row r="21" spans="1:61" s="6" customFormat="1" ht="39.950000000000003" customHeight="1" x14ac:dyDescent="0.2">
      <c r="A21" s="6">
        <v>1</v>
      </c>
      <c r="D21" s="183"/>
      <c r="E21" s="16"/>
      <c r="F21" s="16"/>
      <c r="G21" s="16"/>
      <c r="H21" s="184"/>
      <c r="I21" s="16"/>
      <c r="J21" s="16"/>
      <c r="K21" s="16"/>
      <c r="L21" s="16"/>
      <c r="M21" s="185"/>
      <c r="N21" s="165"/>
      <c r="O21" s="165"/>
      <c r="P21" s="165"/>
      <c r="Q21" s="165"/>
      <c r="R21" s="165"/>
      <c r="S21" s="165"/>
      <c r="T21" s="165" t="s">
        <v>268</v>
      </c>
      <c r="U21" s="165"/>
      <c r="V21" s="165"/>
      <c r="W21" s="165"/>
      <c r="X21" s="165"/>
      <c r="Z21" s="166" t="e">
        <f>SUM(Z23:Z555)</f>
        <v>#VALUE!</v>
      </c>
      <c r="AA21" s="166" t="e">
        <f t="shared" ref="AA21:AZ21" si="3">SUM(AA23:AA555)</f>
        <v>#VALUE!</v>
      </c>
      <c r="AB21" s="166">
        <f t="shared" si="3"/>
        <v>86.1</v>
      </c>
      <c r="AC21" s="166" t="e">
        <f t="shared" si="3"/>
        <v>#VALUE!</v>
      </c>
      <c r="AD21" s="166">
        <f t="shared" si="3"/>
        <v>89.021221299999993</v>
      </c>
      <c r="AE21" s="166" t="e">
        <f t="shared" si="3"/>
        <v>#VALUE!</v>
      </c>
      <c r="AF21" s="166">
        <f t="shared" si="3"/>
        <v>62.713600000000007</v>
      </c>
      <c r="AG21" s="166">
        <f t="shared" si="3"/>
        <v>60.201000000000001</v>
      </c>
      <c r="AH21" s="166" t="e">
        <f t="shared" si="3"/>
        <v>#VALUE!</v>
      </c>
      <c r="AI21" s="166">
        <f t="shared" si="3"/>
        <v>0</v>
      </c>
      <c r="AJ21" s="166" t="e">
        <f t="shared" si="3"/>
        <v>#VALUE!</v>
      </c>
      <c r="AK21" s="166" t="e">
        <f t="shared" si="3"/>
        <v>#VALUE!</v>
      </c>
      <c r="AL21" s="166" t="e">
        <f t="shared" si="3"/>
        <v>#VALUE!</v>
      </c>
      <c r="AM21" s="166" t="e">
        <f t="shared" si="3"/>
        <v>#VALUE!</v>
      </c>
      <c r="AN21" s="166" t="e">
        <f t="shared" si="3"/>
        <v>#VALUE!</v>
      </c>
      <c r="AO21" s="166" t="e">
        <f t="shared" si="3"/>
        <v>#VALUE!</v>
      </c>
      <c r="AP21" s="166" t="e">
        <f t="shared" si="3"/>
        <v>#VALUE!</v>
      </c>
      <c r="AQ21" s="166" t="e">
        <f t="shared" si="3"/>
        <v>#VALUE!</v>
      </c>
      <c r="AR21" s="166" t="e">
        <f t="shared" si="3"/>
        <v>#VALUE!</v>
      </c>
      <c r="AS21" s="166" t="e">
        <f t="shared" si="3"/>
        <v>#VALUE!</v>
      </c>
      <c r="AT21" s="166" t="e">
        <f t="shared" si="3"/>
        <v>#VALUE!</v>
      </c>
      <c r="AU21" s="166">
        <f t="shared" si="3"/>
        <v>73.619592600000004</v>
      </c>
      <c r="AV21" s="166">
        <f t="shared" si="3"/>
        <v>0</v>
      </c>
      <c r="AW21" s="166" t="e">
        <f t="shared" si="3"/>
        <v>#VALUE!</v>
      </c>
      <c r="AX21" s="166" t="e">
        <f t="shared" si="3"/>
        <v>#VALUE!</v>
      </c>
      <c r="AY21" s="166">
        <f t="shared" si="3"/>
        <v>223.56299999999999</v>
      </c>
      <c r="AZ21" s="166">
        <f t="shared" si="3"/>
        <v>0</v>
      </c>
      <c r="BH21" s="174" t="s">
        <v>1463</v>
      </c>
      <c r="BI21" s="5" t="s">
        <v>511</v>
      </c>
    </row>
    <row r="22" spans="1:61" s="192" customFormat="1" ht="12.75" customHeight="1" x14ac:dyDescent="0.2">
      <c r="A22" s="186">
        <v>2</v>
      </c>
      <c r="B22" s="9"/>
      <c r="C22" s="9"/>
      <c r="D22" s="187" t="s">
        <v>610</v>
      </c>
      <c r="E22" s="187" t="s">
        <v>611</v>
      </c>
      <c r="F22" s="187" t="s">
        <v>612</v>
      </c>
      <c r="G22" s="187"/>
      <c r="H22" s="188" t="s">
        <v>613</v>
      </c>
      <c r="I22" s="187" t="s">
        <v>614</v>
      </c>
      <c r="J22" s="189"/>
      <c r="K22" s="189"/>
      <c r="L22" s="187" t="s">
        <v>0</v>
      </c>
      <c r="M22" s="190" t="s">
        <v>262</v>
      </c>
      <c r="N22" s="190" t="s">
        <v>263</v>
      </c>
      <c r="O22" s="190" t="s">
        <v>264</v>
      </c>
      <c r="P22" s="190" t="s">
        <v>265</v>
      </c>
      <c r="Q22" s="190" t="s">
        <v>266</v>
      </c>
      <c r="R22" s="190" t="s">
        <v>267</v>
      </c>
      <c r="S22" s="190"/>
      <c r="T22" s="190" t="s">
        <v>263</v>
      </c>
      <c r="U22" s="190" t="s">
        <v>264</v>
      </c>
      <c r="V22" s="190" t="s">
        <v>265</v>
      </c>
      <c r="W22" s="190" t="s">
        <v>266</v>
      </c>
      <c r="X22" s="190" t="s">
        <v>267</v>
      </c>
      <c r="Y22" s="9"/>
      <c r="Z22" s="191" t="s">
        <v>485</v>
      </c>
      <c r="AA22" s="191" t="s">
        <v>270</v>
      </c>
      <c r="AB22" s="191" t="s">
        <v>486</v>
      </c>
      <c r="AC22" s="191" t="s">
        <v>4</v>
      </c>
      <c r="AD22" s="191" t="s">
        <v>8</v>
      </c>
      <c r="AE22" s="191" t="s">
        <v>487</v>
      </c>
      <c r="AF22" s="191" t="s">
        <v>488</v>
      </c>
      <c r="AG22" s="191" t="s">
        <v>489</v>
      </c>
      <c r="AH22" s="191" t="s">
        <v>17</v>
      </c>
      <c r="AI22" s="191" t="s">
        <v>490</v>
      </c>
      <c r="AJ22" s="191" t="s">
        <v>12</v>
      </c>
      <c r="AK22" s="191" t="s">
        <v>491</v>
      </c>
      <c r="AL22" s="191" t="s">
        <v>47</v>
      </c>
      <c r="AM22" s="191" t="s">
        <v>71</v>
      </c>
      <c r="AN22" s="191" t="s">
        <v>492</v>
      </c>
      <c r="AO22" s="191" t="s">
        <v>493</v>
      </c>
      <c r="AP22" s="191" t="s">
        <v>34</v>
      </c>
      <c r="AQ22" s="191" t="s">
        <v>45</v>
      </c>
      <c r="AR22" s="191" t="s">
        <v>52</v>
      </c>
      <c r="AS22" s="191" t="s">
        <v>494</v>
      </c>
      <c r="AT22" s="191" t="s">
        <v>78</v>
      </c>
      <c r="AU22" s="191" t="s">
        <v>30</v>
      </c>
      <c r="AV22" s="191" t="s">
        <v>495</v>
      </c>
      <c r="AW22" s="191" t="s">
        <v>496</v>
      </c>
      <c r="AX22" s="191" t="s">
        <v>497</v>
      </c>
      <c r="AY22" s="191" t="s">
        <v>498</v>
      </c>
      <c r="AZ22" s="191" t="s">
        <v>499</v>
      </c>
      <c r="BA22" s="9"/>
      <c r="BB22" s="9"/>
    </row>
    <row r="23" spans="1:61" s="9" customFormat="1" ht="12.75" customHeight="1" x14ac:dyDescent="0.2">
      <c r="A23" s="186">
        <v>3</v>
      </c>
      <c r="D23" s="187"/>
      <c r="E23" s="187"/>
      <c r="F23" s="187"/>
      <c r="G23" s="187"/>
      <c r="H23" s="188"/>
      <c r="I23" s="187" t="s">
        <v>615</v>
      </c>
      <c r="J23" s="187" t="s">
        <v>616</v>
      </c>
      <c r="K23" s="187" t="s">
        <v>617</v>
      </c>
      <c r="L23" s="189"/>
      <c r="M23" s="190">
        <v>1</v>
      </c>
      <c r="N23" s="190"/>
      <c r="O23" s="190"/>
      <c r="P23" s="190"/>
      <c r="Q23" s="190"/>
      <c r="R23" s="190"/>
      <c r="S23" s="190"/>
      <c r="T23" s="190"/>
      <c r="U23" s="190"/>
      <c r="V23" s="190"/>
      <c r="W23" s="190"/>
      <c r="X23" s="190"/>
      <c r="Z23" s="191"/>
      <c r="AA23" s="191"/>
      <c r="AB23" s="191"/>
      <c r="AC23" s="191"/>
      <c r="AD23" s="191"/>
      <c r="AE23" s="191"/>
      <c r="AF23" s="191"/>
      <c r="AG23" s="191"/>
      <c r="AH23" s="191"/>
      <c r="AI23" s="191"/>
      <c r="AJ23" s="191"/>
      <c r="AK23" s="191"/>
      <c r="AL23" s="191"/>
      <c r="AM23" s="191"/>
      <c r="AN23" s="191"/>
      <c r="AO23" s="191"/>
      <c r="AP23" s="191"/>
      <c r="AQ23" s="191"/>
      <c r="AR23" s="191"/>
      <c r="AS23" s="191"/>
      <c r="AT23" s="191"/>
      <c r="AU23" s="191"/>
      <c r="AV23" s="191"/>
      <c r="AW23" s="191"/>
      <c r="AX23" s="191"/>
      <c r="AY23" s="191"/>
      <c r="AZ23" s="191"/>
    </row>
    <row r="24" spans="1:61" ht="24.95" customHeight="1" x14ac:dyDescent="0.2">
      <c r="A24" s="171">
        <v>139</v>
      </c>
      <c r="B24" s="171" t="s">
        <v>116</v>
      </c>
      <c r="C24" s="171" t="s">
        <v>112</v>
      </c>
      <c r="D24" s="193" t="s">
        <v>622</v>
      </c>
      <c r="E24" s="193" t="s">
        <v>623</v>
      </c>
      <c r="F24" s="194">
        <v>2.6</v>
      </c>
      <c r="G24" s="194"/>
      <c r="H24" s="195">
        <v>3600</v>
      </c>
      <c r="I24" s="189" t="s">
        <v>9</v>
      </c>
      <c r="J24" s="10" t="s">
        <v>47</v>
      </c>
      <c r="K24" s="189" t="s">
        <v>9</v>
      </c>
      <c r="L24" s="189"/>
      <c r="M24" s="196">
        <f>0.8+2.75+0.2*2+0.8*2</f>
        <v>5.55</v>
      </c>
      <c r="N24" s="196">
        <f>M24</f>
        <v>5.55</v>
      </c>
      <c r="Z24" s="197">
        <f>N24*H24/1000-T24</f>
        <v>19.98</v>
      </c>
      <c r="AB24" s="197">
        <f>11.8*4.3</f>
        <v>50.74</v>
      </c>
      <c r="AF24" s="197">
        <f>O24*H24/1000-U24</f>
        <v>0</v>
      </c>
      <c r="AM24" s="197">
        <f>P24*H24/1000-V24</f>
        <v>0</v>
      </c>
      <c r="AN24" s="197">
        <f>Q24*H24/1000-W24</f>
        <v>0</v>
      </c>
      <c r="BB24" s="196">
        <f t="shared" ref="BB24:BB71" si="4">M24</f>
        <v>5.55</v>
      </c>
    </row>
    <row r="25" spans="1:61" ht="24.95" customHeight="1" x14ac:dyDescent="0.2">
      <c r="A25" s="186">
        <v>170</v>
      </c>
      <c r="B25" s="171" t="s">
        <v>116</v>
      </c>
      <c r="C25" s="171" t="s">
        <v>113</v>
      </c>
      <c r="D25" s="10" t="s">
        <v>634</v>
      </c>
      <c r="E25" s="193" t="s">
        <v>635</v>
      </c>
      <c r="F25" s="198">
        <v>4.05</v>
      </c>
      <c r="G25" s="198"/>
      <c r="H25" s="195">
        <v>3600</v>
      </c>
      <c r="I25" s="199" t="s">
        <v>9</v>
      </c>
      <c r="J25" s="10" t="s">
        <v>47</v>
      </c>
      <c r="K25" s="199" t="s">
        <v>20</v>
      </c>
      <c r="L25" s="193"/>
      <c r="M25" s="196">
        <f>2.4+2.1+0.2*2+0.8*2</f>
        <v>6.5</v>
      </c>
      <c r="N25" s="196">
        <v>6.5</v>
      </c>
      <c r="Z25" s="197">
        <f>N25*H25/1000-T25</f>
        <v>23.4</v>
      </c>
      <c r="AE25" s="197">
        <f>O25*H25/1000-U25</f>
        <v>0</v>
      </c>
      <c r="BB25" s="196">
        <f t="shared" si="4"/>
        <v>6.5</v>
      </c>
    </row>
    <row r="26" spans="1:61" ht="24.95" customHeight="1" x14ac:dyDescent="0.2">
      <c r="A26" s="171">
        <v>226</v>
      </c>
      <c r="B26" s="171" t="s">
        <v>116</v>
      </c>
      <c r="C26" s="171" t="s">
        <v>114</v>
      </c>
      <c r="D26" s="10" t="s">
        <v>638</v>
      </c>
      <c r="E26" s="193" t="s">
        <v>623</v>
      </c>
      <c r="F26" s="194">
        <v>6</v>
      </c>
      <c r="G26" s="200">
        <f>H26/1000</f>
        <v>3</v>
      </c>
      <c r="H26" s="195">
        <v>3000</v>
      </c>
      <c r="I26" s="189" t="s">
        <v>9</v>
      </c>
      <c r="J26" s="189" t="s">
        <v>63</v>
      </c>
      <c r="K26" s="189" t="s">
        <v>9</v>
      </c>
      <c r="L26" s="201"/>
      <c r="M26" s="196">
        <v>12.2</v>
      </c>
      <c r="N26" s="196">
        <f>M26-O26</f>
        <v>7.6</v>
      </c>
      <c r="O26" s="196">
        <f>1.2+0.9+2.5</f>
        <v>4.5999999999999996</v>
      </c>
      <c r="Z26" s="197">
        <f>N26*H26/1000-T26</f>
        <v>22.8</v>
      </c>
      <c r="AE26" s="197">
        <f>O26*H26/1000-U26</f>
        <v>13.799999999999999</v>
      </c>
      <c r="BB26" s="196">
        <f t="shared" si="4"/>
        <v>12.2</v>
      </c>
    </row>
    <row r="27" spans="1:61" ht="24.95" customHeight="1" x14ac:dyDescent="0.2">
      <c r="A27" s="171">
        <v>169</v>
      </c>
      <c r="B27" s="171" t="s">
        <v>116</v>
      </c>
      <c r="C27" s="171" t="s">
        <v>113</v>
      </c>
      <c r="D27" s="10" t="s">
        <v>631</v>
      </c>
      <c r="E27" s="193" t="s">
        <v>632</v>
      </c>
      <c r="F27" s="198">
        <v>22.2</v>
      </c>
      <c r="G27" s="200">
        <f>H27/1000</f>
        <v>3.64</v>
      </c>
      <c r="H27" s="195">
        <v>3640</v>
      </c>
      <c r="I27" s="199" t="s">
        <v>9</v>
      </c>
      <c r="J27" s="10" t="s">
        <v>59</v>
      </c>
      <c r="K27" s="10" t="s">
        <v>633</v>
      </c>
      <c r="L27" s="193"/>
      <c r="M27" s="196">
        <v>26.75</v>
      </c>
      <c r="N27" s="196">
        <v>11</v>
      </c>
      <c r="O27" s="196">
        <f t="shared" ref="O27:O32" si="5">M27-N27</f>
        <v>15.75</v>
      </c>
      <c r="Z27" s="197">
        <f>N27*H27/1000-T27</f>
        <v>40.04</v>
      </c>
      <c r="AE27" s="197">
        <f>O27*H27/1000-U27</f>
        <v>57.33</v>
      </c>
      <c r="BB27" s="196">
        <f t="shared" si="4"/>
        <v>26.75</v>
      </c>
    </row>
    <row r="28" spans="1:61" ht="24.95" customHeight="1" x14ac:dyDescent="0.2">
      <c r="A28" s="171">
        <v>55</v>
      </c>
      <c r="B28" s="171" t="s">
        <v>111</v>
      </c>
      <c r="C28" s="171" t="s">
        <v>113</v>
      </c>
      <c r="D28" s="10" t="s">
        <v>709</v>
      </c>
      <c r="E28" s="193" t="s">
        <v>679</v>
      </c>
      <c r="F28" s="202">
        <v>22.95</v>
      </c>
      <c r="G28" s="202"/>
      <c r="H28" s="203">
        <v>2930</v>
      </c>
      <c r="I28" s="10" t="s">
        <v>603</v>
      </c>
      <c r="J28" s="10" t="s">
        <v>2</v>
      </c>
      <c r="K28" s="10" t="s">
        <v>677</v>
      </c>
      <c r="L28" s="193"/>
      <c r="M28" s="196">
        <f>21.2-5.45-4.4-2.45</f>
        <v>8.8999999999999986</v>
      </c>
      <c r="N28" s="196">
        <v>2.25</v>
      </c>
      <c r="O28" s="196">
        <f t="shared" si="5"/>
        <v>6.6499999999999986</v>
      </c>
      <c r="T28" s="196">
        <f>1.3*2.1</f>
        <v>2.7300000000000004</v>
      </c>
      <c r="U28" s="196">
        <f>1.1*2.1</f>
        <v>2.3100000000000005</v>
      </c>
      <c r="AH28" s="197">
        <f>N28*G28-T28</f>
        <v>-2.7300000000000004</v>
      </c>
      <c r="BB28" s="196">
        <f t="shared" si="4"/>
        <v>8.8999999999999986</v>
      </c>
    </row>
    <row r="29" spans="1:61" ht="24.95" customHeight="1" x14ac:dyDescent="0.2">
      <c r="A29" s="186">
        <v>9</v>
      </c>
      <c r="B29" s="171" t="s">
        <v>111</v>
      </c>
      <c r="C29" s="171" t="s">
        <v>112</v>
      </c>
      <c r="D29" s="10" t="s">
        <v>675</v>
      </c>
      <c r="E29" s="193" t="s">
        <v>676</v>
      </c>
      <c r="F29" s="202">
        <v>12.4</v>
      </c>
      <c r="G29" s="202"/>
      <c r="H29" s="203">
        <v>2930</v>
      </c>
      <c r="I29" s="10" t="s">
        <v>603</v>
      </c>
      <c r="J29" s="10" t="s">
        <v>2</v>
      </c>
      <c r="K29" s="10" t="s">
        <v>677</v>
      </c>
      <c r="L29" s="193"/>
      <c r="M29" s="196">
        <f>5.1*2+2.4</f>
        <v>12.6</v>
      </c>
      <c r="N29" s="196">
        <f>2.75*2</f>
        <v>5.5</v>
      </c>
      <c r="O29" s="196">
        <f t="shared" si="5"/>
        <v>7.1</v>
      </c>
      <c r="T29" s="196">
        <f>1.1*2.1</f>
        <v>2.3100000000000005</v>
      </c>
      <c r="Z29" s="197">
        <f>N29*H29/1000-T29</f>
        <v>13.804999999999998</v>
      </c>
      <c r="AE29" s="197">
        <f>O29*H29/1000-U29</f>
        <v>20.803000000000001</v>
      </c>
      <c r="BB29" s="196">
        <f t="shared" si="4"/>
        <v>12.6</v>
      </c>
    </row>
    <row r="30" spans="1:61" ht="24.95" customHeight="1" x14ac:dyDescent="0.2">
      <c r="A30" s="186">
        <v>17</v>
      </c>
      <c r="B30" s="171" t="s">
        <v>111</v>
      </c>
      <c r="C30" s="171" t="s">
        <v>112</v>
      </c>
      <c r="D30" s="10" t="s">
        <v>691</v>
      </c>
      <c r="E30" s="193" t="s">
        <v>692</v>
      </c>
      <c r="F30" s="202">
        <v>8.8000000000000007</v>
      </c>
      <c r="G30" s="202"/>
      <c r="H30" s="203">
        <v>2930</v>
      </c>
      <c r="I30" s="10" t="s">
        <v>603</v>
      </c>
      <c r="J30" s="10" t="s">
        <v>2</v>
      </c>
      <c r="K30" s="10" t="s">
        <v>677</v>
      </c>
      <c r="L30" s="193"/>
      <c r="M30" s="196">
        <v>12.6</v>
      </c>
      <c r="N30" s="196">
        <v>0.25</v>
      </c>
      <c r="O30" s="196">
        <f t="shared" si="5"/>
        <v>12.35</v>
      </c>
      <c r="U30" s="196">
        <f>1.1*2.1</f>
        <v>2.3100000000000005</v>
      </c>
      <c r="BB30" s="196">
        <f t="shared" si="4"/>
        <v>12.6</v>
      </c>
    </row>
    <row r="31" spans="1:61" ht="24.95" customHeight="1" x14ac:dyDescent="0.2">
      <c r="A31" s="186">
        <v>18</v>
      </c>
      <c r="B31" s="171" t="s">
        <v>111</v>
      </c>
      <c r="C31" s="171" t="s">
        <v>112</v>
      </c>
      <c r="D31" s="10" t="s">
        <v>693</v>
      </c>
      <c r="E31" s="193" t="s">
        <v>694</v>
      </c>
      <c r="F31" s="202">
        <v>8.8000000000000007</v>
      </c>
      <c r="G31" s="202"/>
      <c r="H31" s="203">
        <v>2930</v>
      </c>
      <c r="I31" s="10" t="s">
        <v>603</v>
      </c>
      <c r="J31" s="10" t="s">
        <v>2</v>
      </c>
      <c r="K31" s="10" t="s">
        <v>677</v>
      </c>
      <c r="L31" s="193"/>
      <c r="M31" s="196">
        <v>12.6</v>
      </c>
      <c r="N31" s="196">
        <v>0.35</v>
      </c>
      <c r="O31" s="196">
        <f t="shared" si="5"/>
        <v>12.25</v>
      </c>
      <c r="U31" s="196">
        <f>1.1*2.1</f>
        <v>2.3100000000000005</v>
      </c>
      <c r="BB31" s="196">
        <f t="shared" si="4"/>
        <v>12.6</v>
      </c>
    </row>
    <row r="32" spans="1:61" ht="24.95" customHeight="1" x14ac:dyDescent="0.2">
      <c r="A32" s="186">
        <v>84</v>
      </c>
      <c r="B32" s="171" t="s">
        <v>111</v>
      </c>
      <c r="C32" s="171" t="s">
        <v>114</v>
      </c>
      <c r="D32" s="10" t="s">
        <v>725</v>
      </c>
      <c r="E32" s="193" t="s">
        <v>726</v>
      </c>
      <c r="F32" s="202">
        <v>10.1</v>
      </c>
      <c r="G32" s="202"/>
      <c r="H32" s="203">
        <v>2400</v>
      </c>
      <c r="I32" s="10" t="s">
        <v>603</v>
      </c>
      <c r="J32" s="10" t="s">
        <v>2</v>
      </c>
      <c r="K32" s="10" t="s">
        <v>677</v>
      </c>
      <c r="L32" s="193"/>
      <c r="M32" s="196">
        <v>12.7</v>
      </c>
      <c r="N32" s="196">
        <f>3+0.4</f>
        <v>3.4</v>
      </c>
      <c r="O32" s="196">
        <f t="shared" si="5"/>
        <v>9.2999999999999989</v>
      </c>
      <c r="U32" s="196">
        <f>1.2*2.1</f>
        <v>2.52</v>
      </c>
      <c r="Z32" s="197">
        <f>N32*H32/1000-T32</f>
        <v>8.16</v>
      </c>
      <c r="AE32" s="197">
        <f>O32*H32/1000-U32</f>
        <v>19.799999999999997</v>
      </c>
      <c r="AJ32" s="197">
        <f>P32*H32/1000-V32</f>
        <v>0</v>
      </c>
      <c r="AK32" s="197">
        <f>Q32*H32/1000-W32</f>
        <v>0</v>
      </c>
      <c r="BB32" s="196">
        <f t="shared" si="4"/>
        <v>12.7</v>
      </c>
    </row>
    <row r="33" spans="1:54" ht="24.95" customHeight="1" x14ac:dyDescent="0.2">
      <c r="A33" s="186">
        <v>56</v>
      </c>
      <c r="B33" s="171" t="s">
        <v>111</v>
      </c>
      <c r="C33" s="171" t="s">
        <v>113</v>
      </c>
      <c r="D33" s="10" t="s">
        <v>710</v>
      </c>
      <c r="E33" s="193" t="s">
        <v>711</v>
      </c>
      <c r="F33" s="202">
        <v>18.45</v>
      </c>
      <c r="G33" s="202"/>
      <c r="H33" s="203">
        <v>2930</v>
      </c>
      <c r="I33" s="10" t="s">
        <v>603</v>
      </c>
      <c r="J33" s="10" t="s">
        <v>3</v>
      </c>
      <c r="K33" s="10" t="s">
        <v>677</v>
      </c>
      <c r="L33" s="193"/>
      <c r="M33" s="196">
        <f>18.4-5.45</f>
        <v>12.95</v>
      </c>
      <c r="N33" s="196">
        <f>M33-O33</f>
        <v>9.75</v>
      </c>
      <c r="O33" s="196">
        <f>2+1.2</f>
        <v>3.2</v>
      </c>
      <c r="Z33" s="197">
        <f>N33*H33/1000-T33</f>
        <v>28.567499999999999</v>
      </c>
      <c r="AE33" s="197">
        <f>O33*H33/1000-U33</f>
        <v>9.3759999999999994</v>
      </c>
      <c r="BB33" s="196">
        <f t="shared" si="4"/>
        <v>12.95</v>
      </c>
    </row>
    <row r="34" spans="1:54" ht="24.95" customHeight="1" x14ac:dyDescent="0.2">
      <c r="A34" s="186">
        <v>23</v>
      </c>
      <c r="B34" s="171" t="s">
        <v>111</v>
      </c>
      <c r="C34" s="171" t="s">
        <v>112</v>
      </c>
      <c r="D34" s="10" t="s">
        <v>704</v>
      </c>
      <c r="E34" s="193" t="s">
        <v>705</v>
      </c>
      <c r="F34" s="204">
        <v>5.45</v>
      </c>
      <c r="G34" s="200">
        <f>H34/1000</f>
        <v>3.3250000000000002</v>
      </c>
      <c r="H34" s="203">
        <v>3325</v>
      </c>
      <c r="I34" s="10" t="s">
        <v>603</v>
      </c>
      <c r="J34" s="10" t="s">
        <v>5</v>
      </c>
      <c r="K34" s="10" t="s">
        <v>701</v>
      </c>
      <c r="L34" s="193"/>
      <c r="M34" s="196">
        <v>15.75</v>
      </c>
      <c r="N34" s="196">
        <f>M34-O34</f>
        <v>9.35</v>
      </c>
      <c r="O34" s="196">
        <v>6.4</v>
      </c>
      <c r="Z34" s="197">
        <f>N34*H34/1000-T34</f>
        <v>31.088750000000001</v>
      </c>
      <c r="AE34" s="197">
        <f>O34*H34/1000-U34</f>
        <v>21.28</v>
      </c>
      <c r="BB34" s="196">
        <f t="shared" si="4"/>
        <v>15.75</v>
      </c>
    </row>
    <row r="35" spans="1:54" ht="24.95" customHeight="1" x14ac:dyDescent="0.2">
      <c r="A35" s="186">
        <v>62</v>
      </c>
      <c r="B35" s="171" t="s">
        <v>111</v>
      </c>
      <c r="C35" s="171" t="s">
        <v>113</v>
      </c>
      <c r="D35" s="10" t="s">
        <v>719</v>
      </c>
      <c r="E35" s="193" t="s">
        <v>720</v>
      </c>
      <c r="F35" s="202">
        <v>15.55</v>
      </c>
      <c r="G35" s="202"/>
      <c r="H35" s="203">
        <v>2400</v>
      </c>
      <c r="I35" s="10" t="s">
        <v>603</v>
      </c>
      <c r="J35" s="10" t="s">
        <v>2</v>
      </c>
      <c r="K35" s="10" t="s">
        <v>677</v>
      </c>
      <c r="L35" s="193"/>
      <c r="M35" s="196">
        <v>16.149999999999999</v>
      </c>
      <c r="N35" s="196">
        <f>3.15+3.25</f>
        <v>6.4</v>
      </c>
      <c r="O35" s="196">
        <f>M35-N35</f>
        <v>9.7499999999999982</v>
      </c>
      <c r="U35" s="196">
        <f>1.1*2.1</f>
        <v>2.3100000000000005</v>
      </c>
      <c r="Z35" s="197">
        <f>N35*H35/1000-T35</f>
        <v>15.36</v>
      </c>
      <c r="AE35" s="197">
        <f>O35*H35/1000-U35</f>
        <v>21.089999999999996</v>
      </c>
      <c r="AH35" s="197">
        <f>P35*H35/1000-V35</f>
        <v>0</v>
      </c>
      <c r="AK35" s="197">
        <f>Q35*H35/1000-W35</f>
        <v>0</v>
      </c>
      <c r="BB35" s="196">
        <f t="shared" si="4"/>
        <v>16.149999999999999</v>
      </c>
    </row>
    <row r="36" spans="1:54" s="197" customFormat="1" ht="24.95" customHeight="1" x14ac:dyDescent="0.2">
      <c r="A36" s="186">
        <v>21</v>
      </c>
      <c r="B36" s="171" t="s">
        <v>111</v>
      </c>
      <c r="C36" s="171" t="s">
        <v>112</v>
      </c>
      <c r="D36" s="10" t="s">
        <v>699</v>
      </c>
      <c r="E36" s="193" t="s">
        <v>700</v>
      </c>
      <c r="F36" s="202">
        <v>19.649999999999999</v>
      </c>
      <c r="G36" s="200">
        <f>H36/1000</f>
        <v>2.75</v>
      </c>
      <c r="H36" s="203">
        <v>2750</v>
      </c>
      <c r="I36" s="10" t="s">
        <v>603</v>
      </c>
      <c r="J36" s="10" t="s">
        <v>4</v>
      </c>
      <c r="K36" s="10" t="s">
        <v>701</v>
      </c>
      <c r="L36" s="193"/>
      <c r="M36" s="196">
        <f>21.3-4.9</f>
        <v>16.399999999999999</v>
      </c>
      <c r="N36" s="196">
        <f>M36</f>
        <v>16.399999999999999</v>
      </c>
      <c r="O36" s="196"/>
      <c r="P36" s="196"/>
      <c r="Q36" s="196"/>
      <c r="R36" s="196"/>
      <c r="S36" s="196"/>
      <c r="T36" s="196">
        <f>3.6*2.4</f>
        <v>8.64</v>
      </c>
      <c r="U36" s="196"/>
      <c r="V36" s="196"/>
      <c r="W36" s="196"/>
      <c r="X36" s="196"/>
      <c r="Y36" s="171"/>
      <c r="AA36" s="197">
        <f>N36*G36-T36</f>
        <v>36.459999999999994</v>
      </c>
      <c r="BA36" s="171"/>
      <c r="BB36" s="196">
        <f t="shared" si="4"/>
        <v>16.399999999999999</v>
      </c>
    </row>
    <row r="37" spans="1:54" s="197" customFormat="1" ht="24.95" customHeight="1" x14ac:dyDescent="0.2">
      <c r="A37" s="171">
        <v>64</v>
      </c>
      <c r="B37" s="171" t="s">
        <v>111</v>
      </c>
      <c r="C37" s="171" t="s">
        <v>113</v>
      </c>
      <c r="D37" s="10" t="s">
        <v>721</v>
      </c>
      <c r="E37" s="193" t="s">
        <v>722</v>
      </c>
      <c r="F37" s="202">
        <v>12.1</v>
      </c>
      <c r="G37" s="202"/>
      <c r="H37" s="203">
        <v>2930</v>
      </c>
      <c r="I37" s="10" t="s">
        <v>603</v>
      </c>
      <c r="J37" s="10" t="s">
        <v>2</v>
      </c>
      <c r="K37" s="205" t="s">
        <v>20</v>
      </c>
      <c r="L37" s="193"/>
      <c r="M37" s="196">
        <v>17</v>
      </c>
      <c r="N37" s="196">
        <v>6.7</v>
      </c>
      <c r="O37" s="196">
        <f>M37-N37</f>
        <v>10.3</v>
      </c>
      <c r="P37" s="196"/>
      <c r="Q37" s="196"/>
      <c r="R37" s="196"/>
      <c r="S37" s="196"/>
      <c r="T37" s="196"/>
      <c r="U37" s="196">
        <f>1.1*2.1</f>
        <v>2.3100000000000005</v>
      </c>
      <c r="V37" s="196"/>
      <c r="W37" s="196"/>
      <c r="X37" s="196"/>
      <c r="Y37" s="171"/>
      <c r="AH37" s="197">
        <f>N37*G37-T37</f>
        <v>0</v>
      </c>
      <c r="AJ37" s="197">
        <f>O37*G37-U37</f>
        <v>-2.3100000000000005</v>
      </c>
      <c r="BA37" s="171"/>
      <c r="BB37" s="196">
        <f t="shared" si="4"/>
        <v>17</v>
      </c>
    </row>
    <row r="38" spans="1:54" s="197" customFormat="1" ht="24.95" customHeight="1" x14ac:dyDescent="0.2">
      <c r="A38" s="186">
        <v>11</v>
      </c>
      <c r="B38" s="171" t="s">
        <v>111</v>
      </c>
      <c r="C38" s="171" t="s">
        <v>112</v>
      </c>
      <c r="D38" s="10" t="s">
        <v>680</v>
      </c>
      <c r="E38" s="193" t="s">
        <v>679</v>
      </c>
      <c r="F38" s="202">
        <v>17.25</v>
      </c>
      <c r="G38" s="202"/>
      <c r="H38" s="203">
        <v>2930</v>
      </c>
      <c r="I38" s="10" t="s">
        <v>603</v>
      </c>
      <c r="J38" s="10" t="s">
        <v>2</v>
      </c>
      <c r="K38" s="10" t="s">
        <v>677</v>
      </c>
      <c r="L38" s="193"/>
      <c r="M38" s="196">
        <f>2.1+8.25*2</f>
        <v>18.600000000000001</v>
      </c>
      <c r="N38" s="196">
        <f>1.7+0.6</f>
        <v>2.2999999999999998</v>
      </c>
      <c r="O38" s="196">
        <f>M38-N38</f>
        <v>16.3</v>
      </c>
      <c r="P38" s="196"/>
      <c r="Q38" s="196"/>
      <c r="R38" s="196"/>
      <c r="S38" s="196"/>
      <c r="T38" s="196"/>
      <c r="U38" s="196">
        <f>1.2*2.1+1.1*2.1*4+2*2.1</f>
        <v>15.96</v>
      </c>
      <c r="V38" s="196"/>
      <c r="W38" s="196"/>
      <c r="X38" s="196"/>
      <c r="Y38" s="171"/>
      <c r="Z38" s="197">
        <f>N38*H38/1000-T38</f>
        <v>6.738999999999999</v>
      </c>
      <c r="AE38" s="197">
        <f>O38*H38/1000-U38</f>
        <v>31.798999999999999</v>
      </c>
      <c r="BA38" s="171"/>
      <c r="BB38" s="196">
        <f t="shared" si="4"/>
        <v>18.600000000000001</v>
      </c>
    </row>
    <row r="39" spans="1:54" s="197" customFormat="1" ht="24.95" customHeight="1" x14ac:dyDescent="0.2">
      <c r="A39" s="171">
        <v>22</v>
      </c>
      <c r="B39" s="171" t="s">
        <v>111</v>
      </c>
      <c r="C39" s="171" t="s">
        <v>112</v>
      </c>
      <c r="D39" s="10" t="s">
        <v>702</v>
      </c>
      <c r="E39" s="193" t="s">
        <v>703</v>
      </c>
      <c r="F39" s="202">
        <v>38.1</v>
      </c>
      <c r="G39" s="200">
        <f>H39/1000</f>
        <v>3.3250000000000002</v>
      </c>
      <c r="H39" s="203">
        <v>3325</v>
      </c>
      <c r="I39" s="10" t="s">
        <v>603</v>
      </c>
      <c r="J39" s="10" t="s">
        <v>5</v>
      </c>
      <c r="K39" s="10" t="s">
        <v>701</v>
      </c>
      <c r="L39" s="193"/>
      <c r="M39" s="196">
        <f>24-4.7</f>
        <v>19.3</v>
      </c>
      <c r="N39" s="196">
        <f>M39-O39</f>
        <v>12.55</v>
      </c>
      <c r="O39" s="196">
        <f>6.75</f>
        <v>6.75</v>
      </c>
      <c r="P39" s="196"/>
      <c r="Q39" s="196"/>
      <c r="R39" s="196"/>
      <c r="S39" s="196"/>
      <c r="T39" s="196">
        <f>4.5*3.1+1.4*2.1</f>
        <v>16.89</v>
      </c>
      <c r="U39" s="196"/>
      <c r="V39" s="196"/>
      <c r="W39" s="196"/>
      <c r="X39" s="196"/>
      <c r="Y39" s="171"/>
      <c r="Z39" s="197">
        <f>N39*H39/1000-T39</f>
        <v>24.838749999999997</v>
      </c>
      <c r="AE39" s="197">
        <f>O39*H39/1000-U39</f>
        <v>22.443750000000001</v>
      </c>
      <c r="BA39" s="171"/>
      <c r="BB39" s="196">
        <f t="shared" si="4"/>
        <v>19.3</v>
      </c>
    </row>
    <row r="40" spans="1:54" s="197" customFormat="1" ht="24.95" customHeight="1" x14ac:dyDescent="0.2">
      <c r="A40" s="171">
        <v>16</v>
      </c>
      <c r="B40" s="171" t="s">
        <v>111</v>
      </c>
      <c r="C40" s="171" t="s">
        <v>112</v>
      </c>
      <c r="D40" s="10" t="s">
        <v>689</v>
      </c>
      <c r="E40" s="193" t="s">
        <v>690</v>
      </c>
      <c r="F40" s="202">
        <v>21.65</v>
      </c>
      <c r="G40" s="202"/>
      <c r="H40" s="203">
        <v>2930</v>
      </c>
      <c r="I40" s="10" t="s">
        <v>603</v>
      </c>
      <c r="J40" s="10" t="s">
        <v>2</v>
      </c>
      <c r="K40" s="10" t="s">
        <v>677</v>
      </c>
      <c r="L40" s="193"/>
      <c r="M40" s="196">
        <v>19.5</v>
      </c>
      <c r="N40" s="196">
        <v>1.7</v>
      </c>
      <c r="O40" s="196">
        <f>M40-N40</f>
        <v>17.8</v>
      </c>
      <c r="P40" s="196"/>
      <c r="Q40" s="196"/>
      <c r="R40" s="196"/>
      <c r="S40" s="196"/>
      <c r="T40" s="196"/>
      <c r="U40" s="196">
        <f>1.1*2.1</f>
        <v>2.3100000000000005</v>
      </c>
      <c r="V40" s="196"/>
      <c r="W40" s="196"/>
      <c r="X40" s="196"/>
      <c r="Y40" s="171"/>
      <c r="AD40" s="197">
        <f>N40*G40-T40</f>
        <v>0</v>
      </c>
      <c r="BA40" s="171"/>
      <c r="BB40" s="196">
        <f t="shared" si="4"/>
        <v>19.5</v>
      </c>
    </row>
    <row r="41" spans="1:54" s="197" customFormat="1" ht="24.95" customHeight="1" x14ac:dyDescent="0.2">
      <c r="A41" s="186">
        <v>20</v>
      </c>
      <c r="B41" s="171" t="s">
        <v>111</v>
      </c>
      <c r="C41" s="171" t="s">
        <v>112</v>
      </c>
      <c r="D41" s="10" t="s">
        <v>697</v>
      </c>
      <c r="E41" s="193" t="s">
        <v>698</v>
      </c>
      <c r="F41" s="202">
        <v>24.6</v>
      </c>
      <c r="G41" s="202"/>
      <c r="H41" s="203">
        <v>2930</v>
      </c>
      <c r="I41" s="10" t="s">
        <v>603</v>
      </c>
      <c r="J41" s="10" t="s">
        <v>2</v>
      </c>
      <c r="K41" s="10" t="s">
        <v>677</v>
      </c>
      <c r="L41" s="193"/>
      <c r="M41" s="196">
        <f>20+0.6*2+0.3*2</f>
        <v>21.8</v>
      </c>
      <c r="N41" s="196">
        <f>0.6*2+0.3*2+0.35</f>
        <v>2.15</v>
      </c>
      <c r="O41" s="196">
        <f>M41-N41</f>
        <v>19.650000000000002</v>
      </c>
      <c r="P41" s="196"/>
      <c r="Q41" s="196"/>
      <c r="R41" s="196"/>
      <c r="S41" s="196"/>
      <c r="T41" s="196"/>
      <c r="U41" s="196">
        <f>1.1*2.1</f>
        <v>2.3100000000000005</v>
      </c>
      <c r="V41" s="196"/>
      <c r="W41" s="196"/>
      <c r="X41" s="196"/>
      <c r="Y41" s="171"/>
      <c r="AA41" s="197">
        <f>N41*G41-T41</f>
        <v>0</v>
      </c>
      <c r="BA41" s="171"/>
      <c r="BB41" s="196">
        <f t="shared" si="4"/>
        <v>21.8</v>
      </c>
    </row>
    <row r="42" spans="1:54" s="197" customFormat="1" ht="24.95" customHeight="1" x14ac:dyDescent="0.2">
      <c r="A42" s="186">
        <v>89</v>
      </c>
      <c r="B42" s="171" t="s">
        <v>111</v>
      </c>
      <c r="C42" s="171" t="s">
        <v>114</v>
      </c>
      <c r="D42" s="10" t="s">
        <v>735</v>
      </c>
      <c r="E42" s="193" t="s">
        <v>686</v>
      </c>
      <c r="F42" s="202">
        <v>18.7</v>
      </c>
      <c r="G42" s="202"/>
      <c r="H42" s="203">
        <v>2930</v>
      </c>
      <c r="I42" s="10" t="s">
        <v>603</v>
      </c>
      <c r="J42" s="10" t="s">
        <v>3</v>
      </c>
      <c r="K42" s="10" t="s">
        <v>677</v>
      </c>
      <c r="L42" s="193"/>
      <c r="M42" s="196">
        <v>21.8</v>
      </c>
      <c r="N42" s="196">
        <f>M42-O42</f>
        <v>15.51</v>
      </c>
      <c r="O42" s="196">
        <f>1.2+1.57+3.12+0.4</f>
        <v>6.2900000000000009</v>
      </c>
      <c r="P42" s="196"/>
      <c r="Q42" s="196"/>
      <c r="R42" s="196"/>
      <c r="S42" s="196"/>
      <c r="T42" s="196"/>
      <c r="U42" s="196">
        <f>1.1*2.1</f>
        <v>2.3100000000000005</v>
      </c>
      <c r="V42" s="196"/>
      <c r="W42" s="196"/>
      <c r="X42" s="196"/>
      <c r="Y42" s="171"/>
      <c r="BA42" s="171"/>
      <c r="BB42" s="196">
        <f t="shared" si="4"/>
        <v>21.8</v>
      </c>
    </row>
    <row r="43" spans="1:54" s="197" customFormat="1" ht="24.95" customHeight="1" x14ac:dyDescent="0.2">
      <c r="A43" s="171">
        <v>19</v>
      </c>
      <c r="B43" s="171" t="s">
        <v>111</v>
      </c>
      <c r="C43" s="171" t="s">
        <v>112</v>
      </c>
      <c r="D43" s="10" t="s">
        <v>695</v>
      </c>
      <c r="E43" s="193" t="s">
        <v>696</v>
      </c>
      <c r="F43" s="202">
        <v>23.15</v>
      </c>
      <c r="G43" s="202"/>
      <c r="H43" s="203">
        <v>3505</v>
      </c>
      <c r="I43" s="10" t="s">
        <v>603</v>
      </c>
      <c r="J43" s="10" t="s">
        <v>2</v>
      </c>
      <c r="K43" s="10" t="s">
        <v>677</v>
      </c>
      <c r="L43" s="193"/>
      <c r="M43" s="196">
        <f>20.6+0.6*2+0.3*2</f>
        <v>22.400000000000002</v>
      </c>
      <c r="N43" s="196">
        <f>3.53+0.3*2+0.6*2+0.35</f>
        <v>5.68</v>
      </c>
      <c r="O43" s="196">
        <f>M43-N43</f>
        <v>16.720000000000002</v>
      </c>
      <c r="P43" s="196"/>
      <c r="Q43" s="196"/>
      <c r="R43" s="196"/>
      <c r="S43" s="196"/>
      <c r="T43" s="196"/>
      <c r="U43" s="196">
        <f>1.4*2.1</f>
        <v>2.94</v>
      </c>
      <c r="V43" s="196"/>
      <c r="W43" s="196"/>
      <c r="X43" s="196"/>
      <c r="Y43" s="171"/>
      <c r="Z43" s="197">
        <f>N43*H43/1000-T43</f>
        <v>19.908399999999997</v>
      </c>
      <c r="AF43" s="197">
        <f>O43*H43/1000-U43</f>
        <v>55.66360000000001</v>
      </c>
      <c r="AM43" s="197">
        <f>P43*H43/1000-V43</f>
        <v>0</v>
      </c>
      <c r="AN43" s="197">
        <f>Q43*H43/1000-W43</f>
        <v>0</v>
      </c>
      <c r="BA43" s="171"/>
      <c r="BB43" s="196">
        <f t="shared" si="4"/>
        <v>22.400000000000002</v>
      </c>
    </row>
    <row r="44" spans="1:54" s="197" customFormat="1" ht="24.95" customHeight="1" x14ac:dyDescent="0.2">
      <c r="A44" s="186">
        <v>12</v>
      </c>
      <c r="B44" s="171" t="s">
        <v>111</v>
      </c>
      <c r="C44" s="171" t="s">
        <v>112</v>
      </c>
      <c r="D44" s="10" t="s">
        <v>681</v>
      </c>
      <c r="E44" s="193" t="s">
        <v>682</v>
      </c>
      <c r="F44" s="202">
        <v>24.1</v>
      </c>
      <c r="G44" s="202"/>
      <c r="H44" s="203">
        <v>2930</v>
      </c>
      <c r="I44" s="10" t="s">
        <v>603</v>
      </c>
      <c r="J44" s="10" t="s">
        <v>2</v>
      </c>
      <c r="K44" s="10" t="s">
        <v>677</v>
      </c>
      <c r="L44" s="193"/>
      <c r="M44" s="196">
        <v>23</v>
      </c>
      <c r="N44" s="196">
        <f>M44-O44</f>
        <v>14.27</v>
      </c>
      <c r="O44" s="196">
        <v>8.73</v>
      </c>
      <c r="P44" s="196"/>
      <c r="Q44" s="196"/>
      <c r="R44" s="196"/>
      <c r="S44" s="196"/>
      <c r="T44" s="196"/>
      <c r="U44" s="196">
        <f>1.1*2.1</f>
        <v>2.3100000000000005</v>
      </c>
      <c r="V44" s="196"/>
      <c r="W44" s="196"/>
      <c r="X44" s="196"/>
      <c r="Y44" s="171"/>
      <c r="AD44" s="197">
        <f>N44*G44-T44</f>
        <v>0</v>
      </c>
      <c r="BA44" s="171"/>
      <c r="BB44" s="196">
        <f t="shared" si="4"/>
        <v>23</v>
      </c>
    </row>
    <row r="45" spans="1:54" s="197" customFormat="1" ht="24.95" customHeight="1" x14ac:dyDescent="0.2">
      <c r="A45" s="171">
        <v>85</v>
      </c>
      <c r="B45" s="171" t="s">
        <v>111</v>
      </c>
      <c r="C45" s="171" t="s">
        <v>114</v>
      </c>
      <c r="D45" s="10" t="s">
        <v>727</v>
      </c>
      <c r="E45" s="201" t="s">
        <v>728</v>
      </c>
      <c r="F45" s="202">
        <v>29.8</v>
      </c>
      <c r="G45" s="202"/>
      <c r="H45" s="203">
        <v>2930</v>
      </c>
      <c r="I45" s="10" t="s">
        <v>603</v>
      </c>
      <c r="J45" s="10" t="s">
        <v>2</v>
      </c>
      <c r="K45" s="10" t="s">
        <v>677</v>
      </c>
      <c r="L45" s="193"/>
      <c r="M45" s="196">
        <v>24.4</v>
      </c>
      <c r="N45" s="196">
        <f>M45-O45</f>
        <v>15.599999999999998</v>
      </c>
      <c r="O45" s="196">
        <f>8.8</f>
        <v>8.8000000000000007</v>
      </c>
      <c r="P45" s="196"/>
      <c r="Q45" s="196"/>
      <c r="R45" s="196"/>
      <c r="S45" s="196"/>
      <c r="T45" s="196"/>
      <c r="U45" s="196">
        <f>1.1*2.1</f>
        <v>2.3100000000000005</v>
      </c>
      <c r="V45" s="196"/>
      <c r="W45" s="196"/>
      <c r="X45" s="196"/>
      <c r="Y45" s="171"/>
      <c r="AH45" s="197">
        <f>N45*G45-T45</f>
        <v>0</v>
      </c>
      <c r="AJ45" s="197">
        <f>O45*G45-U45</f>
        <v>-2.3100000000000005</v>
      </c>
      <c r="BA45" s="171"/>
      <c r="BB45" s="196">
        <f t="shared" si="4"/>
        <v>24.4</v>
      </c>
    </row>
    <row r="46" spans="1:54" s="197" customFormat="1" ht="24.95" customHeight="1" x14ac:dyDescent="0.2">
      <c r="A46" s="186">
        <v>15</v>
      </c>
      <c r="B46" s="171" t="s">
        <v>111</v>
      </c>
      <c r="C46" s="171" t="s">
        <v>112</v>
      </c>
      <c r="D46" s="10" t="s">
        <v>687</v>
      </c>
      <c r="E46" s="193" t="s">
        <v>688</v>
      </c>
      <c r="F46" s="202">
        <v>26.3</v>
      </c>
      <c r="G46" s="202"/>
      <c r="H46" s="203">
        <v>2930</v>
      </c>
      <c r="I46" s="10" t="s">
        <v>603</v>
      </c>
      <c r="J46" s="10" t="s">
        <v>2</v>
      </c>
      <c r="K46" s="10" t="s">
        <v>677</v>
      </c>
      <c r="L46" s="193"/>
      <c r="M46" s="196">
        <v>24.5</v>
      </c>
      <c r="N46" s="196">
        <f>8.6+0.6*2</f>
        <v>9.7999999999999989</v>
      </c>
      <c r="O46" s="196">
        <f>M46-N46</f>
        <v>14.700000000000001</v>
      </c>
      <c r="P46" s="196"/>
      <c r="Q46" s="196"/>
      <c r="R46" s="196"/>
      <c r="S46" s="196"/>
      <c r="T46" s="196">
        <f>1.8*1.4+2*1</f>
        <v>4.5199999999999996</v>
      </c>
      <c r="U46" s="196">
        <f>2*2.1</f>
        <v>4.2</v>
      </c>
      <c r="V46" s="196"/>
      <c r="W46" s="196"/>
      <c r="X46" s="196"/>
      <c r="Y46" s="171"/>
      <c r="AD46" s="197">
        <f>N46*G46-T46</f>
        <v>-4.5199999999999996</v>
      </c>
      <c r="BA46" s="171"/>
      <c r="BB46" s="196">
        <f t="shared" si="4"/>
        <v>24.5</v>
      </c>
    </row>
    <row r="47" spans="1:54" s="197" customFormat="1" ht="24.95" customHeight="1" x14ac:dyDescent="0.2">
      <c r="A47" s="186">
        <v>54</v>
      </c>
      <c r="B47" s="171" t="s">
        <v>111</v>
      </c>
      <c r="C47" s="171" t="s">
        <v>113</v>
      </c>
      <c r="D47" s="10" t="s">
        <v>708</v>
      </c>
      <c r="E47" s="193" t="s">
        <v>679</v>
      </c>
      <c r="F47" s="202">
        <v>25.8</v>
      </c>
      <c r="G47" s="202"/>
      <c r="H47" s="203">
        <v>2930</v>
      </c>
      <c r="I47" s="10" t="s">
        <v>603</v>
      </c>
      <c r="J47" s="10" t="s">
        <v>2</v>
      </c>
      <c r="K47" s="10" t="s">
        <v>677</v>
      </c>
      <c r="L47" s="193"/>
      <c r="M47" s="196">
        <f>27.4-2.17</f>
        <v>25.229999999999997</v>
      </c>
      <c r="N47" s="196">
        <f>0.8+2.5+2.25</f>
        <v>5.55</v>
      </c>
      <c r="O47" s="196">
        <f>M47-N47</f>
        <v>19.679999999999996</v>
      </c>
      <c r="P47" s="196"/>
      <c r="Q47" s="196"/>
      <c r="R47" s="196"/>
      <c r="S47" s="196"/>
      <c r="T47" s="196">
        <f>1.1*2.1</f>
        <v>2.3100000000000005</v>
      </c>
      <c r="U47" s="196">
        <f>1.2*2.1+2*2.1</f>
        <v>6.7200000000000006</v>
      </c>
      <c r="V47" s="196"/>
      <c r="W47" s="196"/>
      <c r="X47" s="196"/>
      <c r="Y47" s="171"/>
      <c r="AH47" s="197">
        <f>N47*G47-T47</f>
        <v>-2.3100000000000005</v>
      </c>
      <c r="BA47" s="171"/>
      <c r="BB47" s="196">
        <f t="shared" si="4"/>
        <v>25.229999999999997</v>
      </c>
    </row>
    <row r="48" spans="1:54" s="197" customFormat="1" ht="24.95" customHeight="1" x14ac:dyDescent="0.2">
      <c r="A48" s="186">
        <v>14</v>
      </c>
      <c r="B48" s="171" t="s">
        <v>111</v>
      </c>
      <c r="C48" s="171" t="s">
        <v>112</v>
      </c>
      <c r="D48" s="10" t="s">
        <v>685</v>
      </c>
      <c r="E48" s="193" t="s">
        <v>686</v>
      </c>
      <c r="F48" s="202">
        <v>21.75</v>
      </c>
      <c r="G48" s="202"/>
      <c r="H48" s="203">
        <v>2930</v>
      </c>
      <c r="I48" s="10" t="s">
        <v>603</v>
      </c>
      <c r="J48" s="10" t="s">
        <v>2</v>
      </c>
      <c r="K48" s="10" t="s">
        <v>677</v>
      </c>
      <c r="L48" s="193"/>
      <c r="M48" s="196">
        <v>25.8</v>
      </c>
      <c r="N48" s="196">
        <f>2.3+2.4+1.9</f>
        <v>6.6</v>
      </c>
      <c r="O48" s="196">
        <f>M48-N48</f>
        <v>19.200000000000003</v>
      </c>
      <c r="P48" s="196"/>
      <c r="Q48" s="196"/>
      <c r="R48" s="196"/>
      <c r="S48" s="196"/>
      <c r="T48" s="196"/>
      <c r="U48" s="196">
        <f>1.2*2.1</f>
        <v>2.52</v>
      </c>
      <c r="V48" s="196"/>
      <c r="W48" s="196"/>
      <c r="X48" s="196"/>
      <c r="Y48" s="171"/>
      <c r="AD48" s="197">
        <f>N48*G48-T48</f>
        <v>0</v>
      </c>
      <c r="BA48" s="171"/>
      <c r="BB48" s="196">
        <f t="shared" si="4"/>
        <v>25.8</v>
      </c>
    </row>
    <row r="49" spans="1:54" s="197" customFormat="1" ht="24.95" customHeight="1" x14ac:dyDescent="0.2">
      <c r="A49" s="186">
        <v>87</v>
      </c>
      <c r="B49" s="171" t="s">
        <v>111</v>
      </c>
      <c r="C49" s="171" t="s">
        <v>114</v>
      </c>
      <c r="D49" s="10" t="s">
        <v>731</v>
      </c>
      <c r="E49" s="193" t="s">
        <v>732</v>
      </c>
      <c r="F49" s="202">
        <v>29.65</v>
      </c>
      <c r="G49" s="202"/>
      <c r="H49" s="203">
        <v>2930</v>
      </c>
      <c r="I49" s="10" t="s">
        <v>603</v>
      </c>
      <c r="J49" s="10" t="s">
        <v>2</v>
      </c>
      <c r="K49" s="10" t="s">
        <v>677</v>
      </c>
      <c r="L49" s="193"/>
      <c r="M49" s="196">
        <f>23.8+0.8*2+0.3*2</f>
        <v>26.000000000000004</v>
      </c>
      <c r="N49" s="196">
        <f>4.3+0.6*2+0.3*2+0.8*2</f>
        <v>7.6999999999999993</v>
      </c>
      <c r="O49" s="196">
        <f>M49-N49</f>
        <v>18.300000000000004</v>
      </c>
      <c r="P49" s="196"/>
      <c r="Q49" s="196"/>
      <c r="R49" s="196"/>
      <c r="S49" s="196"/>
      <c r="T49" s="196"/>
      <c r="U49" s="196">
        <f>1.1*2.1</f>
        <v>2.3100000000000005</v>
      </c>
      <c r="V49" s="196"/>
      <c r="W49" s="196"/>
      <c r="X49" s="196"/>
      <c r="Y49" s="171"/>
      <c r="AJ49" s="197">
        <f>N49*G49-T49</f>
        <v>0</v>
      </c>
      <c r="BA49" s="171"/>
      <c r="BB49" s="196">
        <f t="shared" si="4"/>
        <v>26.000000000000004</v>
      </c>
    </row>
    <row r="50" spans="1:54" s="197" customFormat="1" ht="24.95" customHeight="1" x14ac:dyDescent="0.2">
      <c r="A50" s="186">
        <v>59</v>
      </c>
      <c r="B50" s="171" t="s">
        <v>111</v>
      </c>
      <c r="C50" s="171" t="s">
        <v>113</v>
      </c>
      <c r="D50" s="10" t="s">
        <v>714</v>
      </c>
      <c r="E50" s="193" t="s">
        <v>715</v>
      </c>
      <c r="F50" s="202">
        <v>44.45</v>
      </c>
      <c r="G50" s="202"/>
      <c r="H50" s="203">
        <v>2930</v>
      </c>
      <c r="I50" s="10" t="s">
        <v>603</v>
      </c>
      <c r="J50" s="10" t="s">
        <v>2</v>
      </c>
      <c r="K50" s="10" t="s">
        <v>677</v>
      </c>
      <c r="L50" s="193"/>
      <c r="M50" s="196">
        <v>26.65</v>
      </c>
      <c r="N50" s="196">
        <f>0.8+0.4+0.4+0.6</f>
        <v>2.2000000000000002</v>
      </c>
      <c r="O50" s="196">
        <f>M50-N50</f>
        <v>24.45</v>
      </c>
      <c r="P50" s="196"/>
      <c r="Q50" s="196"/>
      <c r="R50" s="196"/>
      <c r="S50" s="196"/>
      <c r="T50" s="196"/>
      <c r="U50" s="196">
        <f>1.6*2.1</f>
        <v>3.3600000000000003</v>
      </c>
      <c r="V50" s="196"/>
      <c r="W50" s="196"/>
      <c r="X50" s="196"/>
      <c r="Y50" s="171"/>
      <c r="Z50" s="197">
        <f>N50*H50/1000-T50</f>
        <v>6.4460000000000006</v>
      </c>
      <c r="AE50" s="197">
        <f>O50*H50/1000-U50</f>
        <v>68.278499999999994</v>
      </c>
      <c r="BA50" s="171"/>
      <c r="BB50" s="196">
        <f t="shared" si="4"/>
        <v>26.65</v>
      </c>
    </row>
    <row r="51" spans="1:54" s="197" customFormat="1" ht="24.95" customHeight="1" x14ac:dyDescent="0.2">
      <c r="A51" s="186">
        <v>60</v>
      </c>
      <c r="B51" s="171" t="s">
        <v>111</v>
      </c>
      <c r="C51" s="171" t="s">
        <v>113</v>
      </c>
      <c r="D51" s="10" t="s">
        <v>716</v>
      </c>
      <c r="E51" s="193" t="s">
        <v>686</v>
      </c>
      <c r="F51" s="202">
        <v>24.05</v>
      </c>
      <c r="G51" s="202"/>
      <c r="H51" s="203">
        <v>2930</v>
      </c>
      <c r="I51" s="10" t="s">
        <v>603</v>
      </c>
      <c r="J51" s="10" t="s">
        <v>2</v>
      </c>
      <c r="K51" s="10" t="s">
        <v>677</v>
      </c>
      <c r="L51" s="193"/>
      <c r="M51" s="196">
        <v>26.8</v>
      </c>
      <c r="N51" s="196">
        <f>M51-O51</f>
        <v>13.700000000000001</v>
      </c>
      <c r="O51" s="196">
        <f>4.45+6.7+1.95</f>
        <v>13.1</v>
      </c>
      <c r="P51" s="196"/>
      <c r="Q51" s="196"/>
      <c r="R51" s="196"/>
      <c r="S51" s="196"/>
      <c r="T51" s="196"/>
      <c r="U51" s="196">
        <f>1.2*2.1</f>
        <v>2.52</v>
      </c>
      <c r="V51" s="196"/>
      <c r="W51" s="196"/>
      <c r="X51" s="196"/>
      <c r="Y51" s="171"/>
      <c r="AA51" s="197">
        <f>N51*G51-T51</f>
        <v>0</v>
      </c>
      <c r="BA51" s="171"/>
      <c r="BB51" s="196">
        <f t="shared" si="4"/>
        <v>26.8</v>
      </c>
    </row>
    <row r="52" spans="1:54" ht="24.95" customHeight="1" x14ac:dyDescent="0.2">
      <c r="A52" s="186">
        <v>86</v>
      </c>
      <c r="B52" s="171" t="s">
        <v>111</v>
      </c>
      <c r="C52" s="171" t="s">
        <v>114</v>
      </c>
      <c r="D52" s="10" t="s">
        <v>729</v>
      </c>
      <c r="E52" s="193" t="s">
        <v>730</v>
      </c>
      <c r="F52" s="206">
        <v>38.6</v>
      </c>
      <c r="G52" s="206"/>
      <c r="H52" s="203">
        <v>2930</v>
      </c>
      <c r="I52" s="10" t="s">
        <v>603</v>
      </c>
      <c r="J52" s="10" t="s">
        <v>2</v>
      </c>
      <c r="K52" s="10" t="s">
        <v>677</v>
      </c>
      <c r="L52" s="193"/>
      <c r="M52" s="196">
        <v>27.3</v>
      </c>
      <c r="N52" s="196">
        <f>M52/2</f>
        <v>13.65</v>
      </c>
      <c r="O52" s="196">
        <f>M52/2</f>
        <v>13.65</v>
      </c>
      <c r="U52" s="196">
        <f>1.3*2.1</f>
        <v>2.7300000000000004</v>
      </c>
      <c r="AH52" s="197">
        <f>N52*G52-T52</f>
        <v>0</v>
      </c>
      <c r="AJ52" s="197">
        <f>O52*G52-U52</f>
        <v>-2.7300000000000004</v>
      </c>
      <c r="BB52" s="196">
        <f t="shared" si="4"/>
        <v>27.3</v>
      </c>
    </row>
    <row r="53" spans="1:54" ht="24.95" customHeight="1" x14ac:dyDescent="0.2">
      <c r="A53" s="171">
        <v>13</v>
      </c>
      <c r="B53" s="171" t="s">
        <v>111</v>
      </c>
      <c r="C53" s="171" t="s">
        <v>112</v>
      </c>
      <c r="D53" s="10" t="s">
        <v>683</v>
      </c>
      <c r="E53" s="193" t="s">
        <v>684</v>
      </c>
      <c r="F53" s="202">
        <v>51.45</v>
      </c>
      <c r="G53" s="202"/>
      <c r="H53" s="203">
        <v>2930</v>
      </c>
      <c r="I53" s="10" t="s">
        <v>603</v>
      </c>
      <c r="J53" s="10" t="s">
        <v>2</v>
      </c>
      <c r="K53" s="10" t="s">
        <v>677</v>
      </c>
      <c r="L53" s="193"/>
      <c r="M53" s="196">
        <f>29.1+0.8*2+0.3*2+0.8*2+0.2</f>
        <v>33.100000000000009</v>
      </c>
      <c r="N53" s="196">
        <f>M53-O53</f>
        <v>12.350000000000009</v>
      </c>
      <c r="O53" s="196">
        <f>6.2*2+8.35</f>
        <v>20.75</v>
      </c>
      <c r="U53" s="196">
        <f>1.1*2.1</f>
        <v>2.3100000000000005</v>
      </c>
      <c r="Z53" s="197">
        <f>N53*H53/1000-T53</f>
        <v>36.185500000000019</v>
      </c>
      <c r="AE53" s="197">
        <f>O53*H53/1000-U53</f>
        <v>58.487499999999997</v>
      </c>
      <c r="BB53" s="196">
        <f t="shared" si="4"/>
        <v>33.100000000000009</v>
      </c>
    </row>
    <row r="54" spans="1:54" ht="24.95" customHeight="1" x14ac:dyDescent="0.2">
      <c r="A54" s="186">
        <v>6</v>
      </c>
      <c r="B54" s="171" t="s">
        <v>111</v>
      </c>
      <c r="C54" s="171" t="s">
        <v>112</v>
      </c>
      <c r="D54" s="10" t="s">
        <v>672</v>
      </c>
      <c r="E54" s="193" t="s">
        <v>673</v>
      </c>
      <c r="F54" s="204">
        <v>43.6</v>
      </c>
      <c r="G54" s="204"/>
      <c r="H54" s="203" t="s">
        <v>269</v>
      </c>
      <c r="I54" s="10" t="s">
        <v>603</v>
      </c>
      <c r="J54" s="207" t="s">
        <v>15</v>
      </c>
      <c r="K54" s="10" t="s">
        <v>674</v>
      </c>
      <c r="L54" s="193"/>
      <c r="M54" s="196">
        <f>30.6+10.2</f>
        <v>40.799999999999997</v>
      </c>
      <c r="N54" s="196">
        <f>M54-O54-P54-Q54</f>
        <v>32.049999999999997</v>
      </c>
      <c r="O54" s="196">
        <v>2.4</v>
      </c>
      <c r="P54" s="196">
        <v>4.5</v>
      </c>
      <c r="Q54" s="196">
        <v>1.85</v>
      </c>
      <c r="T54" s="196">
        <f>3.45*2.25</f>
        <v>7.7625000000000002</v>
      </c>
      <c r="Z54" s="197">
        <f>N54*H54/1000-T54</f>
        <v>72.362499999999997</v>
      </c>
      <c r="AE54" s="197">
        <f>O54*H54/1000-U54</f>
        <v>6</v>
      </c>
      <c r="BB54" s="196">
        <f t="shared" si="4"/>
        <v>40.799999999999997</v>
      </c>
    </row>
    <row r="55" spans="1:54" ht="24.95" customHeight="1" x14ac:dyDescent="0.2">
      <c r="A55" s="186">
        <v>50</v>
      </c>
      <c r="B55" s="171" t="s">
        <v>111</v>
      </c>
      <c r="C55" s="171" t="s">
        <v>113</v>
      </c>
      <c r="D55" s="10" t="s">
        <v>706</v>
      </c>
      <c r="E55" s="193" t="s">
        <v>673</v>
      </c>
      <c r="F55" s="202">
        <v>43.6</v>
      </c>
      <c r="G55" s="202"/>
      <c r="H55" s="203" t="s">
        <v>269</v>
      </c>
      <c r="I55" s="10" t="s">
        <v>603</v>
      </c>
      <c r="J55" s="10" t="s">
        <v>15</v>
      </c>
      <c r="K55" s="10" t="s">
        <v>674</v>
      </c>
      <c r="L55" s="193"/>
      <c r="M55" s="196">
        <f>31+10.2</f>
        <v>41.2</v>
      </c>
      <c r="N55" s="196">
        <f>M55-O55-P55-Q55</f>
        <v>32.450000000000003</v>
      </c>
      <c r="O55" s="196">
        <v>2.4</v>
      </c>
      <c r="P55" s="196">
        <v>4.5</v>
      </c>
      <c r="Q55" s="196">
        <v>1.85</v>
      </c>
      <c r="T55" s="196">
        <f>1.1*2.1+0.95*2.1*2+4.045*2.25</f>
        <v>15.401250000000001</v>
      </c>
      <c r="Z55" s="197">
        <f>N55*H55/1000-T55</f>
        <v>65.723749999999995</v>
      </c>
      <c r="AE55" s="197">
        <f>O55*H55/1000-U55</f>
        <v>6</v>
      </c>
      <c r="BB55" s="196">
        <f t="shared" si="4"/>
        <v>41.2</v>
      </c>
    </row>
    <row r="56" spans="1:54" ht="24.95" customHeight="1" x14ac:dyDescent="0.2">
      <c r="A56" s="171">
        <v>61</v>
      </c>
      <c r="B56" s="171" t="s">
        <v>111</v>
      </c>
      <c r="C56" s="171" t="s">
        <v>113</v>
      </c>
      <c r="D56" s="10" t="s">
        <v>717</v>
      </c>
      <c r="E56" s="193" t="s">
        <v>718</v>
      </c>
      <c r="F56" s="202">
        <v>82.55</v>
      </c>
      <c r="G56" s="202"/>
      <c r="H56" s="203">
        <v>2930</v>
      </c>
      <c r="I56" s="10" t="s">
        <v>603</v>
      </c>
      <c r="J56" s="10" t="s">
        <v>2</v>
      </c>
      <c r="K56" s="10" t="s">
        <v>677</v>
      </c>
      <c r="L56" s="193"/>
      <c r="M56" s="196">
        <f>40.3+0.8*2+0.2*2+0.6*2+0.3*2</f>
        <v>44.1</v>
      </c>
      <c r="N56" s="196">
        <f>7.95+8.85+0.3*2+0.6*2+0.2*2+0.8*2</f>
        <v>20.6</v>
      </c>
      <c r="O56" s="196">
        <f>M56-N56</f>
        <v>23.5</v>
      </c>
      <c r="U56" s="196">
        <f>2*2.1</f>
        <v>4.2</v>
      </c>
      <c r="Z56" s="197">
        <f>N56*H56/1000-T56</f>
        <v>60.358000000000004</v>
      </c>
      <c r="AE56" s="197">
        <f>O56*H56/1000-U56</f>
        <v>64.655000000000001</v>
      </c>
      <c r="BB56" s="196">
        <f t="shared" si="4"/>
        <v>44.1</v>
      </c>
    </row>
    <row r="57" spans="1:54" ht="24.95" customHeight="1" x14ac:dyDescent="0.2">
      <c r="A57" s="186">
        <v>83</v>
      </c>
      <c r="B57" s="171" t="s">
        <v>111</v>
      </c>
      <c r="C57" s="171" t="s">
        <v>114</v>
      </c>
      <c r="D57" s="10" t="s">
        <v>724</v>
      </c>
      <c r="E57" s="193" t="s">
        <v>679</v>
      </c>
      <c r="F57" s="202">
        <v>51.1</v>
      </c>
      <c r="G57" s="202"/>
      <c r="H57" s="203">
        <v>2930</v>
      </c>
      <c r="I57" s="10" t="s">
        <v>603</v>
      </c>
      <c r="J57" s="10" t="s">
        <v>2</v>
      </c>
      <c r="K57" s="10" t="s">
        <v>677</v>
      </c>
      <c r="L57" s="193"/>
      <c r="M57" s="196">
        <f>47.1-2.45</f>
        <v>44.65</v>
      </c>
      <c r="N57" s="196">
        <f>2.5*2</f>
        <v>5</v>
      </c>
      <c r="O57" s="196">
        <f>M57-N57</f>
        <v>39.65</v>
      </c>
      <c r="T57" s="196">
        <f>1.1*2.1</f>
        <v>2.3100000000000005</v>
      </c>
      <c r="U57" s="196">
        <f>1.1*2.1*5+1.2*2.1+2*2.35+1.3*2.1</f>
        <v>21.500000000000004</v>
      </c>
      <c r="AJ57" s="197">
        <f>N57*G57-T57</f>
        <v>-2.3100000000000005</v>
      </c>
      <c r="BB57" s="196">
        <f t="shared" si="4"/>
        <v>44.65</v>
      </c>
    </row>
    <row r="58" spans="1:54" ht="24.95" customHeight="1" x14ac:dyDescent="0.2">
      <c r="A58" s="186">
        <v>80</v>
      </c>
      <c r="B58" s="171" t="s">
        <v>111</v>
      </c>
      <c r="C58" s="171" t="s">
        <v>114</v>
      </c>
      <c r="D58" s="10" t="s">
        <v>723</v>
      </c>
      <c r="E58" s="193" t="s">
        <v>673</v>
      </c>
      <c r="F58" s="206">
        <v>48.3</v>
      </c>
      <c r="G58" s="206"/>
      <c r="H58" s="203" t="s">
        <v>269</v>
      </c>
      <c r="I58" s="10" t="s">
        <v>603</v>
      </c>
      <c r="J58" s="10" t="s">
        <v>25</v>
      </c>
      <c r="K58" s="10" t="s">
        <v>674</v>
      </c>
      <c r="L58" s="193"/>
      <c r="M58" s="196">
        <f>36.2+10.3</f>
        <v>46.5</v>
      </c>
      <c r="N58" s="196">
        <f>M58-O58-P58-Q58-R58</f>
        <v>28.75</v>
      </c>
      <c r="O58" s="196">
        <f>2.9+4.15+2</f>
        <v>9.0500000000000007</v>
      </c>
      <c r="P58" s="196">
        <f>2.35</f>
        <v>2.35</v>
      </c>
      <c r="Q58" s="196">
        <v>4.5</v>
      </c>
      <c r="R58" s="196">
        <v>1.85</v>
      </c>
      <c r="T58" s="196">
        <f>1.1*2.1+0.95*2.1</f>
        <v>4.3050000000000006</v>
      </c>
      <c r="U58" s="196">
        <f>2*2.35+0.95*2.1</f>
        <v>6.6950000000000003</v>
      </c>
      <c r="AH58" s="197">
        <f>N58*G58-T58</f>
        <v>-4.3050000000000006</v>
      </c>
      <c r="AJ58" s="197">
        <f>O58*G58-U58</f>
        <v>-6.6950000000000003</v>
      </c>
      <c r="BB58" s="196">
        <f t="shared" si="4"/>
        <v>46.5</v>
      </c>
    </row>
    <row r="59" spans="1:54" ht="24.95" customHeight="1" x14ac:dyDescent="0.2">
      <c r="A59" s="171">
        <v>10</v>
      </c>
      <c r="B59" s="171" t="s">
        <v>111</v>
      </c>
      <c r="C59" s="171" t="s">
        <v>112</v>
      </c>
      <c r="D59" s="10" t="s">
        <v>678</v>
      </c>
      <c r="E59" s="193" t="s">
        <v>679</v>
      </c>
      <c r="F59" s="202">
        <v>100</v>
      </c>
      <c r="G59" s="202"/>
      <c r="H59" s="203">
        <v>2930</v>
      </c>
      <c r="I59" s="10" t="s">
        <v>603</v>
      </c>
      <c r="J59" s="10" t="s">
        <v>2</v>
      </c>
      <c r="K59" s="10" t="s">
        <v>677</v>
      </c>
      <c r="L59" s="193"/>
      <c r="M59" s="196">
        <f>72.75-2.4-2.1-3</f>
        <v>65.25</v>
      </c>
      <c r="N59" s="196">
        <f>M59-O59</f>
        <v>49.4</v>
      </c>
      <c r="O59" s="196">
        <f>1.05+10.6+4.2</f>
        <v>15.850000000000001</v>
      </c>
      <c r="T59" s="196">
        <f>3.45*2.25+3*2.4</f>
        <v>14.962499999999999</v>
      </c>
      <c r="U59" s="196">
        <f>1.1*2.1+3.6*2.4</f>
        <v>10.950000000000001</v>
      </c>
      <c r="Z59" s="197">
        <f>N59*H59/1000-T59</f>
        <v>129.77949999999998</v>
      </c>
      <c r="AE59" s="197">
        <f>O59*H59/1000-U59</f>
        <v>35.490500000000004</v>
      </c>
      <c r="BB59" s="196">
        <f t="shared" si="4"/>
        <v>65.25</v>
      </c>
    </row>
    <row r="60" spans="1:54" ht="24.95" customHeight="1" x14ac:dyDescent="0.2">
      <c r="A60" s="186">
        <v>53</v>
      </c>
      <c r="B60" s="171" t="s">
        <v>111</v>
      </c>
      <c r="C60" s="171" t="s">
        <v>113</v>
      </c>
      <c r="D60" s="10" t="s">
        <v>707</v>
      </c>
      <c r="E60" s="193" t="s">
        <v>679</v>
      </c>
      <c r="F60" s="202">
        <v>113.85</v>
      </c>
      <c r="G60" s="202"/>
      <c r="H60" s="203">
        <v>2930</v>
      </c>
      <c r="I60" s="10" t="s">
        <v>603</v>
      </c>
      <c r="J60" s="10" t="s">
        <v>2</v>
      </c>
      <c r="K60" s="10" t="s">
        <v>677</v>
      </c>
      <c r="L60" s="193"/>
      <c r="M60" s="196">
        <f>83.6-2.17-3-4.4</f>
        <v>74.029999999999987</v>
      </c>
      <c r="N60" s="196">
        <f>2.8+0.3+30.6+0.2+4.45+0.3*2</f>
        <v>38.95000000000001</v>
      </c>
      <c r="O60" s="196">
        <f>M60-N60</f>
        <v>35.079999999999977</v>
      </c>
      <c r="T60" s="196">
        <f>4.05*2.25</f>
        <v>9.1124999999999989</v>
      </c>
      <c r="U60" s="196">
        <f>1.1*2.1+1.2*2.1*2+1.6*2.1</f>
        <v>10.71</v>
      </c>
      <c r="Z60" s="197">
        <f>N60*H60/1000-T60</f>
        <v>105.01100000000004</v>
      </c>
      <c r="AE60" s="197">
        <f>O60*H60/1000-U60</f>
        <v>92.07439999999994</v>
      </c>
      <c r="BB60" s="196">
        <f t="shared" si="4"/>
        <v>74.029999999999987</v>
      </c>
    </row>
    <row r="61" spans="1:54" ht="24.95" customHeight="1" x14ac:dyDescent="0.2">
      <c r="A61" s="186">
        <v>116</v>
      </c>
      <c r="B61" s="171" t="s">
        <v>116</v>
      </c>
      <c r="C61" s="171" t="s">
        <v>112</v>
      </c>
      <c r="D61" s="193" t="s">
        <v>736</v>
      </c>
      <c r="E61" s="193" t="s">
        <v>737</v>
      </c>
      <c r="F61" s="194">
        <v>41</v>
      </c>
      <c r="G61" s="200">
        <f t="shared" ref="G61:G92" si="6">H61/1000</f>
        <v>3</v>
      </c>
      <c r="H61" s="208">
        <v>3000</v>
      </c>
      <c r="I61" s="10" t="s">
        <v>645</v>
      </c>
      <c r="J61" s="10" t="s">
        <v>277</v>
      </c>
      <c r="K61" s="10" t="s">
        <v>738</v>
      </c>
      <c r="L61" s="10"/>
      <c r="M61" s="196">
        <f>26.3</f>
        <v>26.3</v>
      </c>
      <c r="N61" s="196">
        <v>6.7</v>
      </c>
      <c r="O61" s="196">
        <f>M61-6.7</f>
        <v>19.600000000000001</v>
      </c>
      <c r="P61" s="196">
        <v>2.35</v>
      </c>
      <c r="Q61" s="196">
        <v>4.4000000000000004</v>
      </c>
      <c r="T61" s="196">
        <f>6.7*2.03</f>
        <v>13.600999999999999</v>
      </c>
      <c r="U61" s="196">
        <f>3.725*2.4</f>
        <v>8.94</v>
      </c>
      <c r="Z61" s="197">
        <f>N61*H61/1000-T61</f>
        <v>6.4990000000000023</v>
      </c>
      <c r="AE61" s="197">
        <f>O61*H61/1000-U61</f>
        <v>49.860000000000007</v>
      </c>
      <c r="AF61" s="197">
        <f>P61*H61/1000-V61</f>
        <v>7.05</v>
      </c>
      <c r="AM61" s="197">
        <f>Q61*H61/1000-W61</f>
        <v>13.200000000000001</v>
      </c>
      <c r="AN61" s="197">
        <f>R61*H61/1000-X61</f>
        <v>0</v>
      </c>
      <c r="BB61" s="196">
        <f t="shared" si="4"/>
        <v>26.3</v>
      </c>
    </row>
    <row r="62" spans="1:54" ht="24.95" customHeight="1" x14ac:dyDescent="0.2">
      <c r="A62" s="171">
        <v>118</v>
      </c>
      <c r="B62" s="171" t="s">
        <v>116</v>
      </c>
      <c r="C62" s="171" t="s">
        <v>112</v>
      </c>
      <c r="D62" s="193" t="s">
        <v>739</v>
      </c>
      <c r="E62" s="193" t="s">
        <v>737</v>
      </c>
      <c r="F62" s="194">
        <v>46.25</v>
      </c>
      <c r="G62" s="200">
        <f t="shared" si="6"/>
        <v>3</v>
      </c>
      <c r="H62" s="208">
        <v>3000</v>
      </c>
      <c r="I62" s="10" t="s">
        <v>645</v>
      </c>
      <c r="J62" s="10" t="s">
        <v>40</v>
      </c>
      <c r="K62" s="10" t="s">
        <v>738</v>
      </c>
      <c r="L62" s="10"/>
      <c r="M62" s="196">
        <v>27.8</v>
      </c>
      <c r="N62" s="196">
        <v>6.65</v>
      </c>
      <c r="O62" s="196">
        <f>7.05*2+6.7</f>
        <v>20.8</v>
      </c>
      <c r="P62" s="196">
        <f>7.05</f>
        <v>7.05</v>
      </c>
      <c r="T62" s="196">
        <f>6.65*2.4</f>
        <v>15.96</v>
      </c>
      <c r="U62" s="196">
        <f>6.7*2.4</f>
        <v>16.079999999999998</v>
      </c>
      <c r="AA62" s="197">
        <f>N62*G62-T62</f>
        <v>3.990000000000002</v>
      </c>
      <c r="BB62" s="196">
        <f t="shared" si="4"/>
        <v>27.8</v>
      </c>
    </row>
    <row r="63" spans="1:54" ht="30" x14ac:dyDescent="0.2">
      <c r="A63" s="186">
        <v>119</v>
      </c>
      <c r="B63" s="171" t="s">
        <v>116</v>
      </c>
      <c r="C63" s="171" t="s">
        <v>112</v>
      </c>
      <c r="D63" s="209" t="s">
        <v>278</v>
      </c>
      <c r="E63" s="193" t="s">
        <v>741</v>
      </c>
      <c r="F63" s="194">
        <v>24.95</v>
      </c>
      <c r="G63" s="200">
        <f t="shared" si="6"/>
        <v>3</v>
      </c>
      <c r="H63" s="208">
        <v>3000</v>
      </c>
      <c r="I63" s="10" t="s">
        <v>645</v>
      </c>
      <c r="J63" s="10" t="s">
        <v>40</v>
      </c>
      <c r="K63" s="10" t="s">
        <v>738</v>
      </c>
      <c r="L63" s="10"/>
      <c r="M63" s="196">
        <f>27.6+7.5</f>
        <v>35.1</v>
      </c>
      <c r="N63" s="196">
        <v>6.65</v>
      </c>
      <c r="O63" s="196">
        <f>M63-6.65</f>
        <v>28.450000000000003</v>
      </c>
      <c r="P63" s="196">
        <f>7.5</f>
        <v>7.5</v>
      </c>
      <c r="T63" s="196">
        <f>6.65*2.4</f>
        <v>15.96</v>
      </c>
      <c r="U63" s="196">
        <f>6.65*2.4</f>
        <v>15.96</v>
      </c>
      <c r="AA63" s="197">
        <f>N63*G63-T63</f>
        <v>3.990000000000002</v>
      </c>
      <c r="BB63" s="196">
        <f t="shared" si="4"/>
        <v>35.1</v>
      </c>
    </row>
    <row r="64" spans="1:54" x14ac:dyDescent="0.2">
      <c r="A64" s="186">
        <v>264</v>
      </c>
      <c r="B64" s="171" t="s">
        <v>116</v>
      </c>
      <c r="C64" s="171" t="s">
        <v>117</v>
      </c>
      <c r="D64" s="10" t="s">
        <v>744</v>
      </c>
      <c r="E64" s="193" t="s">
        <v>745</v>
      </c>
      <c r="F64" s="194">
        <v>121.5</v>
      </c>
      <c r="G64" s="200">
        <f t="shared" si="6"/>
        <v>3.3650000000000002</v>
      </c>
      <c r="H64" s="208">
        <v>3365</v>
      </c>
      <c r="I64" s="210" t="s">
        <v>500</v>
      </c>
      <c r="J64" s="189" t="s">
        <v>71</v>
      </c>
      <c r="K64" s="10" t="s">
        <v>671</v>
      </c>
      <c r="L64" s="10"/>
      <c r="M64" s="196">
        <f>1.26*4+10.2</f>
        <v>15.239999999999998</v>
      </c>
      <c r="N64" s="196">
        <f t="shared" ref="N64:N70" si="7">M64</f>
        <v>15.239999999999998</v>
      </c>
      <c r="Z64" s="197">
        <f t="shared" ref="Z64:Z69" si="8">N64*H64/1000-T64</f>
        <v>51.282599999999988</v>
      </c>
      <c r="AE64" s="197">
        <f t="shared" ref="AE64:AE69" si="9">O64*H64/1000-U64</f>
        <v>0</v>
      </c>
      <c r="BB64" s="196">
        <f t="shared" si="4"/>
        <v>15.239999999999998</v>
      </c>
    </row>
    <row r="65" spans="1:54" x14ac:dyDescent="0.2">
      <c r="A65" s="186">
        <v>263</v>
      </c>
      <c r="B65" s="171" t="s">
        <v>116</v>
      </c>
      <c r="C65" s="171" t="s">
        <v>117</v>
      </c>
      <c r="D65" s="10" t="s">
        <v>746</v>
      </c>
      <c r="E65" s="193" t="s">
        <v>747</v>
      </c>
      <c r="F65" s="194">
        <v>69.849999999999994</v>
      </c>
      <c r="G65" s="200">
        <f t="shared" si="6"/>
        <v>3</v>
      </c>
      <c r="H65" s="208">
        <v>3000</v>
      </c>
      <c r="I65" s="10" t="s">
        <v>649</v>
      </c>
      <c r="J65" s="10" t="s">
        <v>71</v>
      </c>
      <c r="K65" s="10" t="s">
        <v>738</v>
      </c>
      <c r="L65" s="10"/>
      <c r="M65" s="196">
        <f>13.3+10+1.26*2</f>
        <v>25.82</v>
      </c>
      <c r="N65" s="196">
        <f t="shared" si="7"/>
        <v>25.82</v>
      </c>
      <c r="Z65" s="197">
        <f t="shared" si="8"/>
        <v>77.459999999999994</v>
      </c>
      <c r="AE65" s="197">
        <f t="shared" si="9"/>
        <v>0</v>
      </c>
      <c r="BB65" s="196">
        <f t="shared" si="4"/>
        <v>25.82</v>
      </c>
    </row>
    <row r="66" spans="1:54" x14ac:dyDescent="0.2">
      <c r="A66" s="171">
        <v>403</v>
      </c>
      <c r="B66" s="171" t="s">
        <v>119</v>
      </c>
      <c r="C66" s="171" t="s">
        <v>112</v>
      </c>
      <c r="D66" s="10" t="s">
        <v>426</v>
      </c>
      <c r="E66" s="193" t="s">
        <v>743</v>
      </c>
      <c r="F66" s="194">
        <v>18.149999999999999</v>
      </c>
      <c r="G66" s="200">
        <f t="shared" si="6"/>
        <v>2.67</v>
      </c>
      <c r="H66" s="208">
        <v>2670</v>
      </c>
      <c r="I66" s="10" t="s">
        <v>651</v>
      </c>
      <c r="J66" s="10" t="s">
        <v>34</v>
      </c>
      <c r="K66" s="10" t="s">
        <v>738</v>
      </c>
      <c r="L66" s="193"/>
      <c r="M66" s="196">
        <f t="shared" ref="M66:M71" si="10">3.3+6.35+2.2+2.15</f>
        <v>13.999999999999998</v>
      </c>
      <c r="N66" s="196">
        <f t="shared" si="7"/>
        <v>13.999999999999998</v>
      </c>
      <c r="T66" s="196">
        <f t="shared" ref="T66:T71" si="11">3.26*2.55</f>
        <v>8.3129999999999988</v>
      </c>
      <c r="Z66" s="197">
        <f t="shared" si="8"/>
        <v>29.066999999999997</v>
      </c>
      <c r="AE66" s="197">
        <f t="shared" si="9"/>
        <v>0</v>
      </c>
      <c r="BB66" s="196">
        <f t="shared" si="4"/>
        <v>13.999999999999998</v>
      </c>
    </row>
    <row r="67" spans="1:54" x14ac:dyDescent="0.2">
      <c r="A67" s="186">
        <v>404</v>
      </c>
      <c r="B67" s="171" t="s">
        <v>119</v>
      </c>
      <c r="C67" s="171" t="s">
        <v>112</v>
      </c>
      <c r="D67" s="10" t="s">
        <v>399</v>
      </c>
      <c r="E67" s="193" t="s">
        <v>750</v>
      </c>
      <c r="F67" s="194">
        <v>18.149999999999999</v>
      </c>
      <c r="G67" s="200">
        <f t="shared" si="6"/>
        <v>2.67</v>
      </c>
      <c r="H67" s="211">
        <v>2670</v>
      </c>
      <c r="I67" s="10" t="s">
        <v>651</v>
      </c>
      <c r="J67" s="10" t="s">
        <v>34</v>
      </c>
      <c r="K67" s="10" t="s">
        <v>752</v>
      </c>
      <c r="L67" s="193"/>
      <c r="M67" s="196">
        <f t="shared" si="10"/>
        <v>13.999999999999998</v>
      </c>
      <c r="N67" s="196">
        <f t="shared" si="7"/>
        <v>13.999999999999998</v>
      </c>
      <c r="T67" s="196">
        <f t="shared" si="11"/>
        <v>8.3129999999999988</v>
      </c>
      <c r="Z67" s="197">
        <f t="shared" si="8"/>
        <v>29.066999999999997</v>
      </c>
      <c r="AE67" s="197">
        <f t="shared" si="9"/>
        <v>0</v>
      </c>
      <c r="BB67" s="196">
        <f t="shared" si="4"/>
        <v>13.999999999999998</v>
      </c>
    </row>
    <row r="68" spans="1:54" x14ac:dyDescent="0.2">
      <c r="A68" s="186">
        <v>443</v>
      </c>
      <c r="B68" s="171" t="s">
        <v>119</v>
      </c>
      <c r="C68" s="171" t="s">
        <v>113</v>
      </c>
      <c r="D68" s="10" t="s">
        <v>400</v>
      </c>
      <c r="E68" s="193" t="s">
        <v>758</v>
      </c>
      <c r="F68" s="200">
        <v>18.149999999999999</v>
      </c>
      <c r="G68" s="200">
        <f t="shared" si="6"/>
        <v>2.67</v>
      </c>
      <c r="H68" s="203">
        <v>2670</v>
      </c>
      <c r="I68" s="10" t="s">
        <v>755</v>
      </c>
      <c r="J68" s="10" t="s">
        <v>34</v>
      </c>
      <c r="K68" s="10" t="s">
        <v>759</v>
      </c>
      <c r="L68" s="193"/>
      <c r="M68" s="196">
        <f t="shared" si="10"/>
        <v>13.999999999999998</v>
      </c>
      <c r="N68" s="196">
        <f t="shared" si="7"/>
        <v>13.999999999999998</v>
      </c>
      <c r="T68" s="196">
        <f t="shared" si="11"/>
        <v>8.3129999999999988</v>
      </c>
      <c r="Z68" s="197">
        <f t="shared" si="8"/>
        <v>29.066999999999997</v>
      </c>
      <c r="AE68" s="197">
        <f t="shared" si="9"/>
        <v>0</v>
      </c>
      <c r="BB68" s="196">
        <f t="shared" si="4"/>
        <v>13.999999999999998</v>
      </c>
    </row>
    <row r="69" spans="1:54" x14ac:dyDescent="0.2">
      <c r="A69" s="186">
        <v>482</v>
      </c>
      <c r="B69" s="171" t="s">
        <v>119</v>
      </c>
      <c r="C69" s="171" t="s">
        <v>114</v>
      </c>
      <c r="D69" s="10" t="s">
        <v>428</v>
      </c>
      <c r="E69" s="193" t="s">
        <v>754</v>
      </c>
      <c r="F69" s="202">
        <v>18.149999999999999</v>
      </c>
      <c r="G69" s="200">
        <f t="shared" si="6"/>
        <v>2.67</v>
      </c>
      <c r="H69" s="211">
        <v>2670</v>
      </c>
      <c r="I69" s="10" t="s">
        <v>755</v>
      </c>
      <c r="J69" s="10" t="s">
        <v>34</v>
      </c>
      <c r="K69" s="10" t="s">
        <v>756</v>
      </c>
      <c r="L69" s="193"/>
      <c r="M69" s="196">
        <f t="shared" si="10"/>
        <v>13.999999999999998</v>
      </c>
      <c r="N69" s="196">
        <f t="shared" si="7"/>
        <v>13.999999999999998</v>
      </c>
      <c r="T69" s="196">
        <f t="shared" si="11"/>
        <v>8.3129999999999988</v>
      </c>
      <c r="Z69" s="197">
        <f t="shared" si="8"/>
        <v>29.066999999999997</v>
      </c>
      <c r="AE69" s="197">
        <f t="shared" si="9"/>
        <v>0</v>
      </c>
      <c r="AK69" s="197">
        <f>P69*H69/1000-V69</f>
        <v>0</v>
      </c>
      <c r="BB69" s="196">
        <f t="shared" si="4"/>
        <v>13.999999999999998</v>
      </c>
    </row>
    <row r="70" spans="1:54" x14ac:dyDescent="0.2">
      <c r="A70" s="186">
        <v>483</v>
      </c>
      <c r="B70" s="171" t="s">
        <v>119</v>
      </c>
      <c r="C70" s="171" t="s">
        <v>114</v>
      </c>
      <c r="D70" s="10" t="s">
        <v>401</v>
      </c>
      <c r="E70" s="193" t="s">
        <v>758</v>
      </c>
      <c r="F70" s="202">
        <v>18.149999999999999</v>
      </c>
      <c r="G70" s="200">
        <f t="shared" si="6"/>
        <v>2.67</v>
      </c>
      <c r="H70" s="211">
        <v>2670</v>
      </c>
      <c r="I70" s="10" t="s">
        <v>755</v>
      </c>
      <c r="J70" s="10" t="s">
        <v>34</v>
      </c>
      <c r="K70" s="10" t="s">
        <v>763</v>
      </c>
      <c r="L70" s="193"/>
      <c r="M70" s="196">
        <f t="shared" si="10"/>
        <v>13.999999999999998</v>
      </c>
      <c r="N70" s="196">
        <f t="shared" si="7"/>
        <v>13.999999999999998</v>
      </c>
      <c r="T70" s="196">
        <f t="shared" si="11"/>
        <v>8.3129999999999988</v>
      </c>
      <c r="AH70" s="197">
        <f>N70*G70-T70</f>
        <v>29.066999999999997</v>
      </c>
      <c r="AJ70" s="197">
        <f>O70*G70-U70</f>
        <v>0</v>
      </c>
      <c r="BB70" s="196">
        <f t="shared" si="4"/>
        <v>13.999999999999998</v>
      </c>
    </row>
    <row r="71" spans="1:54" x14ac:dyDescent="0.2">
      <c r="A71" s="171">
        <v>442</v>
      </c>
      <c r="B71" s="171" t="s">
        <v>119</v>
      </c>
      <c r="C71" s="171" t="s">
        <v>113</v>
      </c>
      <c r="D71" s="10" t="s">
        <v>427</v>
      </c>
      <c r="E71" s="193" t="s">
        <v>754</v>
      </c>
      <c r="F71" s="200">
        <v>18.149999999999999</v>
      </c>
      <c r="G71" s="200">
        <f t="shared" si="6"/>
        <v>2.67</v>
      </c>
      <c r="H71" s="203">
        <v>2670</v>
      </c>
      <c r="I71" s="10" t="s">
        <v>755</v>
      </c>
      <c r="J71" s="10" t="s">
        <v>108</v>
      </c>
      <c r="K71" s="10" t="s">
        <v>756</v>
      </c>
      <c r="L71" s="193"/>
      <c r="M71" s="196">
        <f t="shared" si="10"/>
        <v>13.999999999999998</v>
      </c>
      <c r="N71" s="196">
        <f>M71-O71</f>
        <v>7.5999999999999979</v>
      </c>
      <c r="O71" s="196">
        <f>6.4</f>
        <v>6.4</v>
      </c>
      <c r="T71" s="196">
        <f t="shared" si="11"/>
        <v>8.3129999999999988</v>
      </c>
      <c r="AH71" s="197">
        <f>N71*G71-T71</f>
        <v>11.978999999999996</v>
      </c>
      <c r="BB71" s="196">
        <f t="shared" si="4"/>
        <v>13.999999999999998</v>
      </c>
    </row>
    <row r="72" spans="1:54" x14ac:dyDescent="0.2">
      <c r="A72" s="186">
        <v>296</v>
      </c>
      <c r="B72" s="171" t="s">
        <v>118</v>
      </c>
      <c r="C72" s="171" t="s">
        <v>112</v>
      </c>
      <c r="D72" s="10" t="s">
        <v>1343</v>
      </c>
      <c r="E72" s="193" t="s">
        <v>1344</v>
      </c>
      <c r="F72" s="202">
        <v>41.7</v>
      </c>
      <c r="G72" s="200">
        <f t="shared" si="6"/>
        <v>2.4002669999999999</v>
      </c>
      <c r="H72" s="203">
        <v>2400.2669999999998</v>
      </c>
      <c r="I72" s="10" t="s">
        <v>1464</v>
      </c>
      <c r="J72" s="10" t="s">
        <v>46</v>
      </c>
      <c r="K72" s="10" t="s">
        <v>1346</v>
      </c>
      <c r="L72" s="193"/>
      <c r="M72" s="196">
        <f t="shared" ref="M72:M105" si="12">14.9*2+9.15*2+9.2-2.1*2</f>
        <v>53.099999999999994</v>
      </c>
      <c r="N72" s="196">
        <f t="shared" ref="N72:N103" si="13">M72-O72-P72</f>
        <v>43.899999999999991</v>
      </c>
      <c r="O72" s="196">
        <v>9.1999999999999993</v>
      </c>
      <c r="T72" s="196">
        <f t="shared" ref="T72:T103" si="14">(3.26+0.19+3.26)*2.55</f>
        <v>17.110499999999995</v>
      </c>
      <c r="U72" s="196">
        <f t="shared" ref="U72:U103" si="15">1.05*2.4*2</f>
        <v>5.04</v>
      </c>
      <c r="AH72" s="197">
        <f>N72*G72-T72</f>
        <v>88.261221299999988</v>
      </c>
      <c r="AJ72" s="197">
        <f>O72*G72-U72</f>
        <v>17.042456399999999</v>
      </c>
      <c r="BB72" s="196">
        <f t="shared" ref="BB72:BB103" si="16">N72+P72</f>
        <v>43.899999999999991</v>
      </c>
    </row>
    <row r="73" spans="1:54" x14ac:dyDescent="0.2">
      <c r="A73" s="171">
        <v>298</v>
      </c>
      <c r="B73" s="171" t="s">
        <v>118</v>
      </c>
      <c r="C73" s="171" t="s">
        <v>112</v>
      </c>
      <c r="D73" s="10" t="s">
        <v>1350</v>
      </c>
      <c r="E73" s="193" t="s">
        <v>1344</v>
      </c>
      <c r="F73" s="202">
        <v>41.7</v>
      </c>
      <c r="G73" s="200">
        <f t="shared" si="6"/>
        <v>2.4002669999999999</v>
      </c>
      <c r="H73" s="203">
        <v>2400.2669999999998</v>
      </c>
      <c r="I73" s="10" t="s">
        <v>1464</v>
      </c>
      <c r="J73" s="10" t="s">
        <v>46</v>
      </c>
      <c r="K73" s="10" t="s">
        <v>1349</v>
      </c>
      <c r="L73" s="193"/>
      <c r="M73" s="196">
        <f t="shared" si="12"/>
        <v>53.099999999999994</v>
      </c>
      <c r="N73" s="196">
        <f t="shared" si="13"/>
        <v>43.899999999999991</v>
      </c>
      <c r="O73" s="196">
        <v>9.1999999999999993</v>
      </c>
      <c r="T73" s="196">
        <f t="shared" si="14"/>
        <v>17.110499999999995</v>
      </c>
      <c r="U73" s="196">
        <f t="shared" si="15"/>
        <v>5.04</v>
      </c>
      <c r="Z73" s="197">
        <f>N73*H73/1000-T73</f>
        <v>88.261221299999988</v>
      </c>
      <c r="AE73" s="197">
        <f>O73*H73/1000-U73</f>
        <v>17.042456399999995</v>
      </c>
      <c r="AK73" s="197">
        <f>P73*H73/1000-V73</f>
        <v>0</v>
      </c>
      <c r="BB73" s="196">
        <f t="shared" si="16"/>
        <v>43.899999999999991</v>
      </c>
    </row>
    <row r="74" spans="1:54" x14ac:dyDescent="0.2">
      <c r="A74" s="186">
        <v>299</v>
      </c>
      <c r="B74" s="171" t="s">
        <v>118</v>
      </c>
      <c r="C74" s="171" t="s">
        <v>112</v>
      </c>
      <c r="D74" s="10" t="s">
        <v>1351</v>
      </c>
      <c r="E74" s="193" t="s">
        <v>1344</v>
      </c>
      <c r="F74" s="204">
        <v>41.7</v>
      </c>
      <c r="G74" s="200">
        <f t="shared" si="6"/>
        <v>2.4002669999999999</v>
      </c>
      <c r="H74" s="203">
        <v>2400.2669999999998</v>
      </c>
      <c r="I74" s="10" t="s">
        <v>1464</v>
      </c>
      <c r="J74" s="10" t="s">
        <v>46</v>
      </c>
      <c r="K74" s="10" t="s">
        <v>1352</v>
      </c>
      <c r="L74" s="193"/>
      <c r="M74" s="196">
        <f t="shared" si="12"/>
        <v>53.099999999999994</v>
      </c>
      <c r="N74" s="196">
        <f t="shared" si="13"/>
        <v>43.899999999999991</v>
      </c>
      <c r="O74" s="196">
        <v>9.1999999999999993</v>
      </c>
      <c r="T74" s="196">
        <f t="shared" si="14"/>
        <v>17.110499999999995</v>
      </c>
      <c r="U74" s="196">
        <f t="shared" si="15"/>
        <v>5.04</v>
      </c>
      <c r="AH74" s="197">
        <f>N74*G74-T74</f>
        <v>88.261221299999988</v>
      </c>
      <c r="AJ74" s="197">
        <f>O74*G74-U74</f>
        <v>17.042456399999999</v>
      </c>
      <c r="BB74" s="196">
        <f t="shared" si="16"/>
        <v>43.899999999999991</v>
      </c>
    </row>
    <row r="75" spans="1:54" x14ac:dyDescent="0.2">
      <c r="A75" s="171">
        <v>301</v>
      </c>
      <c r="B75" s="171" t="s">
        <v>118</v>
      </c>
      <c r="C75" s="171" t="s">
        <v>112</v>
      </c>
      <c r="D75" s="10" t="s">
        <v>1354</v>
      </c>
      <c r="E75" s="193" t="s">
        <v>1344</v>
      </c>
      <c r="F75" s="204">
        <v>41.7</v>
      </c>
      <c r="G75" s="200" t="e">
        <f t="shared" si="6"/>
        <v>#VALUE!</v>
      </c>
      <c r="H75" s="211" t="s">
        <v>1348</v>
      </c>
      <c r="I75" s="10" t="s">
        <v>1464</v>
      </c>
      <c r="J75" s="10" t="s">
        <v>46</v>
      </c>
      <c r="K75" s="10" t="s">
        <v>1355</v>
      </c>
      <c r="L75" s="193"/>
      <c r="M75" s="196">
        <f t="shared" si="12"/>
        <v>53.099999999999994</v>
      </c>
      <c r="N75" s="196">
        <f t="shared" si="13"/>
        <v>43.899999999999991</v>
      </c>
      <c r="O75" s="196">
        <v>9.1999999999999993</v>
      </c>
      <c r="T75" s="196">
        <f t="shared" si="14"/>
        <v>17.110499999999995</v>
      </c>
      <c r="U75" s="196">
        <f t="shared" si="15"/>
        <v>5.04</v>
      </c>
      <c r="AJ75" s="197" t="e">
        <f>N75*G75-T75</f>
        <v>#VALUE!</v>
      </c>
      <c r="BB75" s="196">
        <f t="shared" si="16"/>
        <v>43.899999999999991</v>
      </c>
    </row>
    <row r="76" spans="1:54" x14ac:dyDescent="0.2">
      <c r="A76" s="186">
        <v>335</v>
      </c>
      <c r="B76" s="171" t="s">
        <v>118</v>
      </c>
      <c r="C76" s="171" t="s">
        <v>113</v>
      </c>
      <c r="D76" s="10" t="s">
        <v>1360</v>
      </c>
      <c r="E76" s="193" t="s">
        <v>1344</v>
      </c>
      <c r="F76" s="202">
        <v>41.7</v>
      </c>
      <c r="G76" s="200">
        <f t="shared" si="6"/>
        <v>2.4002669999999999</v>
      </c>
      <c r="H76" s="203">
        <v>2400.2669999999998</v>
      </c>
      <c r="I76" s="10" t="s">
        <v>1464</v>
      </c>
      <c r="J76" s="10" t="s">
        <v>46</v>
      </c>
      <c r="K76" s="10" t="s">
        <v>1346</v>
      </c>
      <c r="L76" s="212"/>
      <c r="M76" s="196">
        <f t="shared" si="12"/>
        <v>53.099999999999994</v>
      </c>
      <c r="N76" s="196">
        <f t="shared" si="13"/>
        <v>43.899999999999991</v>
      </c>
      <c r="O76" s="196">
        <v>9.1999999999999993</v>
      </c>
      <c r="T76" s="196">
        <f t="shared" si="14"/>
        <v>17.110499999999995</v>
      </c>
      <c r="U76" s="196">
        <f t="shared" si="15"/>
        <v>5.04</v>
      </c>
      <c r="AD76" s="197">
        <f>N76*G76-T76</f>
        <v>88.261221299999988</v>
      </c>
      <c r="BB76" s="196">
        <f t="shared" si="16"/>
        <v>43.899999999999991</v>
      </c>
    </row>
    <row r="77" spans="1:54" x14ac:dyDescent="0.2">
      <c r="A77" s="171">
        <v>337</v>
      </c>
      <c r="B77" s="171" t="s">
        <v>118</v>
      </c>
      <c r="C77" s="171" t="s">
        <v>113</v>
      </c>
      <c r="D77" s="10" t="s">
        <v>1363</v>
      </c>
      <c r="E77" s="193" t="s">
        <v>1344</v>
      </c>
      <c r="F77" s="202">
        <v>41.7</v>
      </c>
      <c r="G77" s="200">
        <f t="shared" si="6"/>
        <v>2.4002669999999999</v>
      </c>
      <c r="H77" s="203">
        <v>2400.2669999999998</v>
      </c>
      <c r="I77" s="10" t="s">
        <v>1464</v>
      </c>
      <c r="J77" s="10" t="s">
        <v>46</v>
      </c>
      <c r="K77" s="10" t="s">
        <v>1364</v>
      </c>
      <c r="L77" s="212"/>
      <c r="M77" s="196">
        <f t="shared" si="12"/>
        <v>53.099999999999994</v>
      </c>
      <c r="N77" s="196">
        <f t="shared" si="13"/>
        <v>43.899999999999991</v>
      </c>
      <c r="O77" s="196">
        <v>9.1999999999999993</v>
      </c>
      <c r="T77" s="196">
        <f t="shared" si="14"/>
        <v>17.110499999999995</v>
      </c>
      <c r="U77" s="196">
        <f t="shared" si="15"/>
        <v>5.04</v>
      </c>
      <c r="BB77" s="196">
        <f t="shared" si="16"/>
        <v>43.899999999999991</v>
      </c>
    </row>
    <row r="78" spans="1:54" x14ac:dyDescent="0.2">
      <c r="A78" s="186">
        <v>338</v>
      </c>
      <c r="B78" s="171" t="s">
        <v>118</v>
      </c>
      <c r="C78" s="171" t="s">
        <v>113</v>
      </c>
      <c r="D78" s="10" t="s">
        <v>1365</v>
      </c>
      <c r="E78" s="193" t="s">
        <v>1344</v>
      </c>
      <c r="F78" s="202">
        <v>41.7</v>
      </c>
      <c r="G78" s="200" t="e">
        <f t="shared" si="6"/>
        <v>#VALUE!</v>
      </c>
      <c r="H78" s="211" t="s">
        <v>792</v>
      </c>
      <c r="I78" s="10" t="s">
        <v>1464</v>
      </c>
      <c r="J78" s="10" t="s">
        <v>46</v>
      </c>
      <c r="K78" s="10" t="s">
        <v>1366</v>
      </c>
      <c r="L78" s="212"/>
      <c r="M78" s="196">
        <f t="shared" si="12"/>
        <v>53.099999999999994</v>
      </c>
      <c r="N78" s="196">
        <f t="shared" si="13"/>
        <v>43.899999999999991</v>
      </c>
      <c r="O78" s="196">
        <v>9.1999999999999993</v>
      </c>
      <c r="T78" s="196">
        <f t="shared" si="14"/>
        <v>17.110499999999995</v>
      </c>
      <c r="U78" s="196">
        <f t="shared" si="15"/>
        <v>5.04</v>
      </c>
      <c r="AM78" s="197" t="e">
        <f>N78*G78-T78</f>
        <v>#VALUE!</v>
      </c>
      <c r="AN78" s="197" t="e">
        <f>O78*G78-U78</f>
        <v>#VALUE!</v>
      </c>
      <c r="AO78" s="197" t="e">
        <f>P78*G78-V78</f>
        <v>#VALUE!</v>
      </c>
      <c r="BB78" s="196">
        <f t="shared" si="16"/>
        <v>43.899999999999991</v>
      </c>
    </row>
    <row r="79" spans="1:54" x14ac:dyDescent="0.2">
      <c r="A79" s="171">
        <v>340</v>
      </c>
      <c r="B79" s="171" t="s">
        <v>118</v>
      </c>
      <c r="C79" s="171" t="s">
        <v>113</v>
      </c>
      <c r="D79" s="10" t="s">
        <v>1368</v>
      </c>
      <c r="E79" s="193" t="s">
        <v>1344</v>
      </c>
      <c r="F79" s="202">
        <v>41.7</v>
      </c>
      <c r="G79" s="200">
        <f t="shared" si="6"/>
        <v>2.4002669999999999</v>
      </c>
      <c r="H79" s="203">
        <v>2400.2669999999998</v>
      </c>
      <c r="I79" s="10" t="s">
        <v>1464</v>
      </c>
      <c r="J79" s="10" t="s">
        <v>46</v>
      </c>
      <c r="K79" s="10" t="s">
        <v>1366</v>
      </c>
      <c r="L79" s="212"/>
      <c r="M79" s="196">
        <f t="shared" si="12"/>
        <v>53.099999999999994</v>
      </c>
      <c r="N79" s="196">
        <f t="shared" si="13"/>
        <v>43.899999999999991</v>
      </c>
      <c r="O79" s="196">
        <v>9.1999999999999993</v>
      </c>
      <c r="T79" s="196">
        <f t="shared" si="14"/>
        <v>17.110499999999995</v>
      </c>
      <c r="U79" s="196">
        <f t="shared" si="15"/>
        <v>5.04</v>
      </c>
      <c r="BB79" s="196">
        <f t="shared" si="16"/>
        <v>43.899999999999991</v>
      </c>
    </row>
    <row r="80" spans="1:54" x14ac:dyDescent="0.2">
      <c r="A80" s="171">
        <v>343</v>
      </c>
      <c r="B80" s="171" t="s">
        <v>118</v>
      </c>
      <c r="C80" s="171" t="s">
        <v>113</v>
      </c>
      <c r="D80" s="10" t="s">
        <v>1371</v>
      </c>
      <c r="E80" s="193" t="s">
        <v>1344</v>
      </c>
      <c r="F80" s="202">
        <v>41.7</v>
      </c>
      <c r="G80" s="200">
        <f t="shared" si="6"/>
        <v>2.4002669999999999</v>
      </c>
      <c r="H80" s="203">
        <v>2400.2669999999998</v>
      </c>
      <c r="I80" s="10" t="s">
        <v>1464</v>
      </c>
      <c r="J80" s="10" t="s">
        <v>46</v>
      </c>
      <c r="K80" s="10" t="s">
        <v>1364</v>
      </c>
      <c r="L80" s="212"/>
      <c r="M80" s="196">
        <f t="shared" si="12"/>
        <v>53.099999999999994</v>
      </c>
      <c r="N80" s="196">
        <f t="shared" si="13"/>
        <v>43.899999999999991</v>
      </c>
      <c r="O80" s="196">
        <v>9.1999999999999993</v>
      </c>
      <c r="T80" s="196">
        <f t="shared" si="14"/>
        <v>17.110499999999995</v>
      </c>
      <c r="U80" s="196">
        <f t="shared" si="15"/>
        <v>5.04</v>
      </c>
      <c r="BB80" s="196">
        <f t="shared" si="16"/>
        <v>43.899999999999991</v>
      </c>
    </row>
    <row r="81" spans="1:54" x14ac:dyDescent="0.2">
      <c r="A81" s="186">
        <v>372</v>
      </c>
      <c r="B81" s="171" t="s">
        <v>118</v>
      </c>
      <c r="C81" s="171" t="s">
        <v>114</v>
      </c>
      <c r="D81" s="10" t="s">
        <v>1380</v>
      </c>
      <c r="E81" s="193" t="s">
        <v>1373</v>
      </c>
      <c r="F81" s="194">
        <v>41.7</v>
      </c>
      <c r="G81" s="200">
        <f t="shared" si="6"/>
        <v>2.4002669999999999</v>
      </c>
      <c r="H81" s="208">
        <v>2400.2669999999998</v>
      </c>
      <c r="I81" s="10" t="s">
        <v>1464</v>
      </c>
      <c r="J81" s="10" t="s">
        <v>46</v>
      </c>
      <c r="K81" s="10" t="s">
        <v>1377</v>
      </c>
      <c r="L81" s="193"/>
      <c r="M81" s="196">
        <f t="shared" si="12"/>
        <v>53.099999999999994</v>
      </c>
      <c r="N81" s="196">
        <f t="shared" si="13"/>
        <v>43.899999999999991</v>
      </c>
      <c r="O81" s="196">
        <v>9.1999999999999993</v>
      </c>
      <c r="T81" s="196">
        <f t="shared" si="14"/>
        <v>17.110499999999995</v>
      </c>
      <c r="U81" s="196">
        <f t="shared" si="15"/>
        <v>5.04</v>
      </c>
      <c r="AM81" s="197">
        <f>N81*G81-T81</f>
        <v>88.261221299999988</v>
      </c>
      <c r="AP81" s="197">
        <f>O81*G81-U81</f>
        <v>17.042456399999999</v>
      </c>
      <c r="AS81" s="197">
        <f>P81*G81-V81</f>
        <v>0</v>
      </c>
      <c r="AT81" s="197">
        <f>Q81*G81-W81</f>
        <v>0</v>
      </c>
      <c r="BB81" s="196">
        <f t="shared" si="16"/>
        <v>43.899999999999991</v>
      </c>
    </row>
    <row r="82" spans="1:54" x14ac:dyDescent="0.2">
      <c r="A82" s="186">
        <v>408</v>
      </c>
      <c r="B82" s="171" t="s">
        <v>119</v>
      </c>
      <c r="C82" s="171" t="s">
        <v>112</v>
      </c>
      <c r="D82" s="10" t="s">
        <v>1386</v>
      </c>
      <c r="E82" s="193" t="s">
        <v>1373</v>
      </c>
      <c r="F82" s="194">
        <v>41.7</v>
      </c>
      <c r="G82" s="200">
        <f t="shared" si="6"/>
        <v>2.4002669999999999</v>
      </c>
      <c r="H82" s="208">
        <v>2400.2669999999998</v>
      </c>
      <c r="I82" s="10" t="s">
        <v>1464</v>
      </c>
      <c r="J82" s="10" t="s">
        <v>46</v>
      </c>
      <c r="K82" s="10" t="s">
        <v>1387</v>
      </c>
      <c r="L82" s="193"/>
      <c r="M82" s="196">
        <f t="shared" si="12"/>
        <v>53.099999999999994</v>
      </c>
      <c r="N82" s="196">
        <f t="shared" si="13"/>
        <v>43.899999999999991</v>
      </c>
      <c r="O82" s="196">
        <v>9.1999999999999993</v>
      </c>
      <c r="T82" s="196">
        <f t="shared" si="14"/>
        <v>17.110499999999995</v>
      </c>
      <c r="U82" s="196">
        <f t="shared" si="15"/>
        <v>5.04</v>
      </c>
      <c r="AM82" s="197">
        <f>N82*G82-T82</f>
        <v>88.261221299999988</v>
      </c>
      <c r="AP82" s="197">
        <f>O82*G82-U82</f>
        <v>17.042456399999999</v>
      </c>
      <c r="AT82" s="197">
        <f>P82*G82-V82</f>
        <v>0</v>
      </c>
      <c r="BB82" s="196">
        <f t="shared" si="16"/>
        <v>43.899999999999991</v>
      </c>
    </row>
    <row r="83" spans="1:54" x14ac:dyDescent="0.2">
      <c r="A83" s="171">
        <v>409</v>
      </c>
      <c r="B83" s="171" t="s">
        <v>119</v>
      </c>
      <c r="C83" s="171" t="s">
        <v>112</v>
      </c>
      <c r="D83" s="10" t="s">
        <v>1388</v>
      </c>
      <c r="E83" s="193" t="s">
        <v>1373</v>
      </c>
      <c r="F83" s="194">
        <v>41.7</v>
      </c>
      <c r="G83" s="200">
        <f t="shared" si="6"/>
        <v>2.4002669999999999</v>
      </c>
      <c r="H83" s="208">
        <v>2400.2669999999998</v>
      </c>
      <c r="I83" s="10" t="s">
        <v>1464</v>
      </c>
      <c r="J83" s="10" t="s">
        <v>46</v>
      </c>
      <c r="K83" s="10" t="s">
        <v>1389</v>
      </c>
      <c r="L83" s="193"/>
      <c r="M83" s="196">
        <f t="shared" si="12"/>
        <v>53.099999999999994</v>
      </c>
      <c r="N83" s="196">
        <f t="shared" si="13"/>
        <v>43.899999999999991</v>
      </c>
      <c r="O83" s="196">
        <v>9.1999999999999993</v>
      </c>
      <c r="T83" s="196">
        <f t="shared" si="14"/>
        <v>17.110499999999995</v>
      </c>
      <c r="U83" s="196">
        <f t="shared" si="15"/>
        <v>5.04</v>
      </c>
      <c r="AM83" s="197">
        <f>N83*G83-T83</f>
        <v>88.261221299999988</v>
      </c>
      <c r="AP83" s="197">
        <f>O83*G83-U83</f>
        <v>17.042456399999999</v>
      </c>
      <c r="AT83" s="197">
        <f>P83*G83-V83</f>
        <v>0</v>
      </c>
      <c r="BB83" s="196">
        <f t="shared" si="16"/>
        <v>43.899999999999991</v>
      </c>
    </row>
    <row r="84" spans="1:54" x14ac:dyDescent="0.2">
      <c r="A84" s="186">
        <v>411</v>
      </c>
      <c r="B84" s="171" t="s">
        <v>119</v>
      </c>
      <c r="C84" s="171" t="s">
        <v>112</v>
      </c>
      <c r="D84" s="10" t="s">
        <v>1391</v>
      </c>
      <c r="E84" s="193" t="s">
        <v>1373</v>
      </c>
      <c r="F84" s="194">
        <v>41.7</v>
      </c>
      <c r="G84" s="200">
        <f t="shared" si="6"/>
        <v>2.4002669999999999</v>
      </c>
      <c r="H84" s="208">
        <v>2400.2669999999998</v>
      </c>
      <c r="I84" s="10" t="s">
        <v>1464</v>
      </c>
      <c r="J84" s="10" t="s">
        <v>46</v>
      </c>
      <c r="K84" s="10" t="s">
        <v>1392</v>
      </c>
      <c r="L84" s="193"/>
      <c r="M84" s="196">
        <f t="shared" si="12"/>
        <v>53.099999999999994</v>
      </c>
      <c r="N84" s="196">
        <f t="shared" si="13"/>
        <v>43.899999999999991</v>
      </c>
      <c r="O84" s="196">
        <v>9.1999999999999993</v>
      </c>
      <c r="T84" s="196">
        <f t="shared" si="14"/>
        <v>17.110499999999995</v>
      </c>
      <c r="U84" s="196">
        <f t="shared" si="15"/>
        <v>5.04</v>
      </c>
      <c r="AM84" s="197">
        <f>N84*G84-T84</f>
        <v>88.261221299999988</v>
      </c>
      <c r="AP84" s="197">
        <f>O84*G84-U84</f>
        <v>17.042456399999999</v>
      </c>
      <c r="AT84" s="197">
        <f>P84*G84-V84</f>
        <v>0</v>
      </c>
      <c r="BB84" s="196">
        <f t="shared" si="16"/>
        <v>43.899999999999991</v>
      </c>
    </row>
    <row r="85" spans="1:54" x14ac:dyDescent="0.2">
      <c r="A85" s="186">
        <v>446</v>
      </c>
      <c r="B85" s="171" t="s">
        <v>119</v>
      </c>
      <c r="C85" s="171" t="s">
        <v>113</v>
      </c>
      <c r="D85" s="10" t="s">
        <v>1396</v>
      </c>
      <c r="E85" s="193" t="s">
        <v>1344</v>
      </c>
      <c r="F85" s="213">
        <v>41.7</v>
      </c>
      <c r="G85" s="200">
        <f t="shared" si="6"/>
        <v>2.4002669999999999</v>
      </c>
      <c r="H85" s="203">
        <v>2400.2669999999998</v>
      </c>
      <c r="I85" s="10" t="s">
        <v>1464</v>
      </c>
      <c r="J85" s="10" t="s">
        <v>46</v>
      </c>
      <c r="K85" s="10" t="s">
        <v>1398</v>
      </c>
      <c r="L85" s="193"/>
      <c r="M85" s="196">
        <f t="shared" si="12"/>
        <v>53.099999999999994</v>
      </c>
      <c r="N85" s="196">
        <f t="shared" si="13"/>
        <v>43.899999999999991</v>
      </c>
      <c r="O85" s="196">
        <v>9.1999999999999993</v>
      </c>
      <c r="T85" s="196">
        <f t="shared" si="14"/>
        <v>17.110499999999995</v>
      </c>
      <c r="U85" s="196">
        <f t="shared" si="15"/>
        <v>5.04</v>
      </c>
      <c r="AP85" s="197">
        <f>N85*G85-T85</f>
        <v>88.261221299999988</v>
      </c>
      <c r="AT85" s="197">
        <f>O85*G85-U85</f>
        <v>17.042456399999999</v>
      </c>
      <c r="BB85" s="196">
        <f t="shared" si="16"/>
        <v>43.899999999999991</v>
      </c>
    </row>
    <row r="86" spans="1:54" x14ac:dyDescent="0.2">
      <c r="A86" s="171">
        <v>448</v>
      </c>
      <c r="B86" s="171" t="s">
        <v>119</v>
      </c>
      <c r="C86" s="171" t="s">
        <v>113</v>
      </c>
      <c r="D86" s="10" t="s">
        <v>1401</v>
      </c>
      <c r="E86" s="193" t="s">
        <v>1344</v>
      </c>
      <c r="F86" s="213">
        <v>41.7</v>
      </c>
      <c r="G86" s="200">
        <f t="shared" si="6"/>
        <v>2.4002669999999999</v>
      </c>
      <c r="H86" s="203">
        <v>2400.2669999999998</v>
      </c>
      <c r="I86" s="10" t="s">
        <v>1464</v>
      </c>
      <c r="J86" s="10" t="s">
        <v>46</v>
      </c>
      <c r="K86" s="10" t="s">
        <v>1402</v>
      </c>
      <c r="L86" s="193"/>
      <c r="M86" s="196">
        <f t="shared" si="12"/>
        <v>53.099999999999994</v>
      </c>
      <c r="N86" s="196">
        <f t="shared" si="13"/>
        <v>43.899999999999991</v>
      </c>
      <c r="O86" s="196">
        <v>9.1999999999999993</v>
      </c>
      <c r="T86" s="196">
        <f t="shared" si="14"/>
        <v>17.110499999999995</v>
      </c>
      <c r="U86" s="196">
        <f t="shared" si="15"/>
        <v>5.04</v>
      </c>
      <c r="AS86" s="197">
        <f>N86*G86-T86</f>
        <v>88.261221299999988</v>
      </c>
      <c r="AT86" s="197">
        <f>O86*G86-U86</f>
        <v>17.042456399999999</v>
      </c>
      <c r="BB86" s="196">
        <f t="shared" si="16"/>
        <v>43.899999999999991</v>
      </c>
    </row>
    <row r="87" spans="1:54" x14ac:dyDescent="0.2">
      <c r="A87" s="186">
        <v>449</v>
      </c>
      <c r="B87" s="171" t="s">
        <v>119</v>
      </c>
      <c r="C87" s="171" t="s">
        <v>113</v>
      </c>
      <c r="D87" s="10" t="s">
        <v>1403</v>
      </c>
      <c r="E87" s="193" t="s">
        <v>1344</v>
      </c>
      <c r="F87" s="200">
        <v>41.7</v>
      </c>
      <c r="G87" s="200">
        <f t="shared" si="6"/>
        <v>2.4002669999999999</v>
      </c>
      <c r="H87" s="203">
        <v>2400.2669999999998</v>
      </c>
      <c r="I87" s="10" t="s">
        <v>1464</v>
      </c>
      <c r="J87" s="10" t="s">
        <v>46</v>
      </c>
      <c r="K87" s="10" t="s">
        <v>1404</v>
      </c>
      <c r="L87" s="193"/>
      <c r="M87" s="196">
        <f t="shared" si="12"/>
        <v>53.099999999999994</v>
      </c>
      <c r="N87" s="196">
        <f t="shared" si="13"/>
        <v>43.899999999999991</v>
      </c>
      <c r="O87" s="196">
        <v>9.1999999999999993</v>
      </c>
      <c r="T87" s="196">
        <f t="shared" si="14"/>
        <v>17.110499999999995</v>
      </c>
      <c r="U87" s="196">
        <f t="shared" si="15"/>
        <v>5.04</v>
      </c>
      <c r="AQ87" s="197">
        <f>N87*G87-T87</f>
        <v>88.261221299999988</v>
      </c>
      <c r="BB87" s="196">
        <f t="shared" si="16"/>
        <v>43.899999999999991</v>
      </c>
    </row>
    <row r="88" spans="1:54" x14ac:dyDescent="0.2">
      <c r="A88" s="186">
        <v>450</v>
      </c>
      <c r="B88" s="171" t="s">
        <v>119</v>
      </c>
      <c r="C88" s="171" t="s">
        <v>113</v>
      </c>
      <c r="D88" s="10" t="s">
        <v>1405</v>
      </c>
      <c r="E88" s="193" t="s">
        <v>1344</v>
      </c>
      <c r="F88" s="200">
        <v>41.7</v>
      </c>
      <c r="G88" s="200">
        <f t="shared" si="6"/>
        <v>2.4002669999999999</v>
      </c>
      <c r="H88" s="203">
        <v>2400.2669999999998</v>
      </c>
      <c r="I88" s="10" t="s">
        <v>1464</v>
      </c>
      <c r="J88" s="10" t="s">
        <v>46</v>
      </c>
      <c r="K88" s="10" t="s">
        <v>1402</v>
      </c>
      <c r="L88" s="193"/>
      <c r="M88" s="196">
        <f t="shared" si="12"/>
        <v>53.099999999999994</v>
      </c>
      <c r="N88" s="196">
        <f t="shared" si="13"/>
        <v>43.899999999999991</v>
      </c>
      <c r="O88" s="196">
        <v>9.1999999999999993</v>
      </c>
      <c r="T88" s="196">
        <f t="shared" si="14"/>
        <v>17.110499999999995</v>
      </c>
      <c r="U88" s="196">
        <f t="shared" si="15"/>
        <v>5.04</v>
      </c>
      <c r="AQ88" s="197">
        <f>N88*G88-T88</f>
        <v>88.261221299999988</v>
      </c>
      <c r="BB88" s="196">
        <f t="shared" si="16"/>
        <v>43.899999999999991</v>
      </c>
    </row>
    <row r="89" spans="1:54" x14ac:dyDescent="0.2">
      <c r="A89" s="186">
        <v>453</v>
      </c>
      <c r="B89" s="171" t="s">
        <v>119</v>
      </c>
      <c r="C89" s="171" t="s">
        <v>113</v>
      </c>
      <c r="D89" s="10" t="s">
        <v>1408</v>
      </c>
      <c r="E89" s="193" t="s">
        <v>1344</v>
      </c>
      <c r="F89" s="200">
        <v>41.7</v>
      </c>
      <c r="G89" s="200">
        <f t="shared" si="6"/>
        <v>2.4002669999999999</v>
      </c>
      <c r="H89" s="203">
        <v>2400.2669999999998</v>
      </c>
      <c r="I89" s="10" t="s">
        <v>1464</v>
      </c>
      <c r="J89" s="10" t="s">
        <v>46</v>
      </c>
      <c r="K89" s="10" t="s">
        <v>1404</v>
      </c>
      <c r="L89" s="193"/>
      <c r="M89" s="196">
        <f t="shared" si="12"/>
        <v>53.099999999999994</v>
      </c>
      <c r="N89" s="196">
        <f t="shared" si="13"/>
        <v>43.899999999999991</v>
      </c>
      <c r="O89" s="196">
        <v>9.1999999999999993</v>
      </c>
      <c r="T89" s="196">
        <f t="shared" si="14"/>
        <v>17.110499999999995</v>
      </c>
      <c r="U89" s="196">
        <f t="shared" si="15"/>
        <v>5.04</v>
      </c>
      <c r="AQ89" s="197">
        <f>N89*G89-T89</f>
        <v>88.261221299999988</v>
      </c>
      <c r="BB89" s="196">
        <f t="shared" si="16"/>
        <v>43.899999999999991</v>
      </c>
    </row>
    <row r="90" spans="1:54" x14ac:dyDescent="0.2">
      <c r="A90" s="186">
        <v>489</v>
      </c>
      <c r="B90" s="171" t="s">
        <v>119</v>
      </c>
      <c r="C90" s="171" t="s">
        <v>114</v>
      </c>
      <c r="D90" s="10" t="s">
        <v>1414</v>
      </c>
      <c r="E90" s="193" t="s">
        <v>1344</v>
      </c>
      <c r="F90" s="202">
        <v>41.7</v>
      </c>
      <c r="G90" s="200" t="e">
        <f t="shared" si="6"/>
        <v>#VALUE!</v>
      </c>
      <c r="H90" s="211" t="s">
        <v>761</v>
      </c>
      <c r="I90" s="10" t="s">
        <v>1464</v>
      </c>
      <c r="J90" s="10" t="s">
        <v>46</v>
      </c>
      <c r="K90" s="10" t="s">
        <v>1366</v>
      </c>
      <c r="L90" s="193"/>
      <c r="M90" s="196">
        <f t="shared" si="12"/>
        <v>53.099999999999994</v>
      </c>
      <c r="N90" s="196">
        <f t="shared" si="13"/>
        <v>43.899999999999991</v>
      </c>
      <c r="O90" s="196">
        <v>9.1999999999999993</v>
      </c>
      <c r="T90" s="196">
        <f t="shared" si="14"/>
        <v>17.110499999999995</v>
      </c>
      <c r="U90" s="196">
        <f t="shared" si="15"/>
        <v>5.04</v>
      </c>
      <c r="AQ90" s="197" t="e">
        <f>N90*G90-T90</f>
        <v>#VALUE!</v>
      </c>
      <c r="BB90" s="196">
        <f t="shared" si="16"/>
        <v>43.899999999999991</v>
      </c>
    </row>
    <row r="91" spans="1:54" x14ac:dyDescent="0.2">
      <c r="A91" s="171">
        <v>490</v>
      </c>
      <c r="B91" s="171" t="s">
        <v>119</v>
      </c>
      <c r="C91" s="171" t="s">
        <v>114</v>
      </c>
      <c r="D91" s="10" t="s">
        <v>1416</v>
      </c>
      <c r="E91" s="193" t="s">
        <v>1412</v>
      </c>
      <c r="F91" s="202">
        <v>41.7</v>
      </c>
      <c r="G91" s="200">
        <f t="shared" si="6"/>
        <v>2.4002669999999999</v>
      </c>
      <c r="H91" s="203">
        <v>2400.2669999999998</v>
      </c>
      <c r="I91" s="10" t="s">
        <v>1464</v>
      </c>
      <c r="J91" s="10" t="s">
        <v>46</v>
      </c>
      <c r="K91" s="10" t="s">
        <v>1364</v>
      </c>
      <c r="L91" s="193"/>
      <c r="M91" s="196">
        <f t="shared" si="12"/>
        <v>53.099999999999994</v>
      </c>
      <c r="N91" s="196">
        <f t="shared" si="13"/>
        <v>43.899999999999991</v>
      </c>
      <c r="O91" s="196">
        <v>9.1999999999999993</v>
      </c>
      <c r="T91" s="196">
        <f t="shared" si="14"/>
        <v>17.110499999999995</v>
      </c>
      <c r="U91" s="196">
        <f t="shared" si="15"/>
        <v>5.04</v>
      </c>
      <c r="AQ91" s="197">
        <f>N91*G91-T91</f>
        <v>88.261221299999988</v>
      </c>
      <c r="BB91" s="196">
        <f t="shared" si="16"/>
        <v>43.899999999999991</v>
      </c>
    </row>
    <row r="92" spans="1:54" x14ac:dyDescent="0.2">
      <c r="A92" s="186">
        <v>524</v>
      </c>
      <c r="B92" s="171" t="s">
        <v>120</v>
      </c>
      <c r="C92" s="171" t="s">
        <v>112</v>
      </c>
      <c r="D92" s="10" t="s">
        <v>1420</v>
      </c>
      <c r="E92" s="193" t="s">
        <v>1344</v>
      </c>
      <c r="F92" s="202">
        <v>41.7</v>
      </c>
      <c r="G92" s="200" t="e">
        <f t="shared" si="6"/>
        <v>#VALUE!</v>
      </c>
      <c r="H92" s="211" t="s">
        <v>761</v>
      </c>
      <c r="I92" s="10" t="s">
        <v>1464</v>
      </c>
      <c r="J92" s="10" t="s">
        <v>46</v>
      </c>
      <c r="K92" s="10" t="s">
        <v>1422</v>
      </c>
      <c r="L92" s="212"/>
      <c r="M92" s="196">
        <f t="shared" si="12"/>
        <v>53.099999999999994</v>
      </c>
      <c r="N92" s="196">
        <f t="shared" si="13"/>
        <v>43.899999999999991</v>
      </c>
      <c r="O92" s="196">
        <v>9.1999999999999993</v>
      </c>
      <c r="T92" s="196">
        <f t="shared" si="14"/>
        <v>17.110499999999995</v>
      </c>
      <c r="U92" s="196">
        <f t="shared" si="15"/>
        <v>5.04</v>
      </c>
      <c r="AL92" s="197" t="e">
        <f>N92*H92/1000</f>
        <v>#VALUE!</v>
      </c>
      <c r="BB92" s="196">
        <f t="shared" si="16"/>
        <v>43.899999999999991</v>
      </c>
    </row>
    <row r="93" spans="1:54" x14ac:dyDescent="0.2">
      <c r="A93" s="171">
        <v>526</v>
      </c>
      <c r="B93" s="171" t="s">
        <v>120</v>
      </c>
      <c r="C93" s="171" t="s">
        <v>112</v>
      </c>
      <c r="D93" s="10" t="s">
        <v>1424</v>
      </c>
      <c r="E93" s="193" t="s">
        <v>1344</v>
      </c>
      <c r="F93" s="202">
        <v>41.7</v>
      </c>
      <c r="G93" s="200" t="e">
        <f t="shared" ref="G93:G124" si="17">H93/1000</f>
        <v>#VALUE!</v>
      </c>
      <c r="H93" s="211" t="s">
        <v>761</v>
      </c>
      <c r="I93" s="10" t="s">
        <v>1464</v>
      </c>
      <c r="J93" s="10" t="s">
        <v>46</v>
      </c>
      <c r="K93" s="10" t="s">
        <v>1364</v>
      </c>
      <c r="L93" s="212"/>
      <c r="M93" s="196">
        <f t="shared" si="12"/>
        <v>53.099999999999994</v>
      </c>
      <c r="N93" s="196">
        <f t="shared" si="13"/>
        <v>43.899999999999991</v>
      </c>
      <c r="O93" s="196">
        <v>9.1999999999999993</v>
      </c>
      <c r="T93" s="196">
        <f t="shared" si="14"/>
        <v>17.110499999999995</v>
      </c>
      <c r="U93" s="196">
        <f t="shared" si="15"/>
        <v>5.04</v>
      </c>
      <c r="BB93" s="196">
        <f t="shared" si="16"/>
        <v>43.899999999999991</v>
      </c>
    </row>
    <row r="94" spans="1:54" x14ac:dyDescent="0.2">
      <c r="A94" s="186">
        <v>527</v>
      </c>
      <c r="B94" s="171" t="s">
        <v>120</v>
      </c>
      <c r="C94" s="171" t="s">
        <v>112</v>
      </c>
      <c r="D94" s="10" t="s">
        <v>1425</v>
      </c>
      <c r="E94" s="193" t="s">
        <v>1344</v>
      </c>
      <c r="F94" s="202">
        <v>41.7</v>
      </c>
      <c r="G94" s="200" t="e">
        <f t="shared" si="17"/>
        <v>#VALUE!</v>
      </c>
      <c r="H94" s="211" t="s">
        <v>761</v>
      </c>
      <c r="I94" s="10" t="s">
        <v>1464</v>
      </c>
      <c r="J94" s="10" t="s">
        <v>46</v>
      </c>
      <c r="K94" s="10" t="s">
        <v>1352</v>
      </c>
      <c r="L94" s="212"/>
      <c r="M94" s="196">
        <f t="shared" si="12"/>
        <v>53.099999999999994</v>
      </c>
      <c r="N94" s="196">
        <f t="shared" si="13"/>
        <v>43.899999999999991</v>
      </c>
      <c r="O94" s="196">
        <v>9.1999999999999993</v>
      </c>
      <c r="T94" s="196">
        <f t="shared" si="14"/>
        <v>17.110499999999995</v>
      </c>
      <c r="U94" s="196">
        <f t="shared" si="15"/>
        <v>5.04</v>
      </c>
      <c r="BB94" s="196">
        <f t="shared" si="16"/>
        <v>43.899999999999991</v>
      </c>
    </row>
    <row r="95" spans="1:54" x14ac:dyDescent="0.2">
      <c r="A95" s="171">
        <v>529</v>
      </c>
      <c r="B95" s="171" t="s">
        <v>120</v>
      </c>
      <c r="C95" s="171" t="s">
        <v>112</v>
      </c>
      <c r="D95" s="10" t="s">
        <v>1427</v>
      </c>
      <c r="E95" s="193" t="s">
        <v>1344</v>
      </c>
      <c r="F95" s="202">
        <v>41.7</v>
      </c>
      <c r="G95" s="200" t="e">
        <f t="shared" si="17"/>
        <v>#VALUE!</v>
      </c>
      <c r="H95" s="211" t="s">
        <v>761</v>
      </c>
      <c r="I95" s="10" t="s">
        <v>1464</v>
      </c>
      <c r="J95" s="10" t="s">
        <v>46</v>
      </c>
      <c r="K95" s="10" t="s">
        <v>1428</v>
      </c>
      <c r="L95" s="212"/>
      <c r="M95" s="196">
        <f t="shared" si="12"/>
        <v>53.099999999999994</v>
      </c>
      <c r="N95" s="196">
        <f t="shared" si="13"/>
        <v>43.899999999999991</v>
      </c>
      <c r="O95" s="196">
        <v>9.1999999999999993</v>
      </c>
      <c r="T95" s="196">
        <f t="shared" si="14"/>
        <v>17.110499999999995</v>
      </c>
      <c r="U95" s="196">
        <f t="shared" si="15"/>
        <v>5.04</v>
      </c>
      <c r="BB95" s="196">
        <f t="shared" si="16"/>
        <v>43.899999999999991</v>
      </c>
    </row>
    <row r="96" spans="1:54" x14ac:dyDescent="0.2">
      <c r="A96" s="186">
        <v>563</v>
      </c>
      <c r="B96" s="171" t="s">
        <v>120</v>
      </c>
      <c r="C96" s="171" t="s">
        <v>113</v>
      </c>
      <c r="D96" s="10" t="s">
        <v>1432</v>
      </c>
      <c r="E96" s="193" t="s">
        <v>1412</v>
      </c>
      <c r="F96" s="202">
        <v>41.7</v>
      </c>
      <c r="G96" s="200">
        <f t="shared" si="17"/>
        <v>2.4002669999999999</v>
      </c>
      <c r="H96" s="203">
        <v>2400.2669999999998</v>
      </c>
      <c r="I96" s="10" t="s">
        <v>1464</v>
      </c>
      <c r="J96" s="10" t="s">
        <v>46</v>
      </c>
      <c r="K96" s="10" t="s">
        <v>1355</v>
      </c>
      <c r="L96" s="193"/>
      <c r="M96" s="196">
        <f t="shared" si="12"/>
        <v>53.099999999999994</v>
      </c>
      <c r="N96" s="196">
        <f t="shared" si="13"/>
        <v>43.899999999999991</v>
      </c>
      <c r="O96" s="196">
        <v>9.1999999999999993</v>
      </c>
      <c r="T96" s="196">
        <f t="shared" si="14"/>
        <v>17.110499999999995</v>
      </c>
      <c r="U96" s="196">
        <f t="shared" si="15"/>
        <v>5.04</v>
      </c>
      <c r="AM96" s="197">
        <f>N96*G96-T96</f>
        <v>88.261221299999988</v>
      </c>
      <c r="AP96" s="197">
        <f>O96*G96-U96</f>
        <v>17.042456399999999</v>
      </c>
      <c r="BB96" s="196">
        <f t="shared" si="16"/>
        <v>43.899999999999991</v>
      </c>
    </row>
    <row r="97" spans="1:54" x14ac:dyDescent="0.2">
      <c r="A97" s="171">
        <v>565</v>
      </c>
      <c r="B97" s="171" t="s">
        <v>120</v>
      </c>
      <c r="C97" s="171" t="s">
        <v>113</v>
      </c>
      <c r="D97" s="10" t="s">
        <v>1435</v>
      </c>
      <c r="E97" s="193" t="s">
        <v>1412</v>
      </c>
      <c r="F97" s="204">
        <v>41.7</v>
      </c>
      <c r="G97" s="200">
        <f t="shared" si="17"/>
        <v>2.4002669999999999</v>
      </c>
      <c r="H97" s="203">
        <v>2400.2669999999998</v>
      </c>
      <c r="I97" s="10" t="s">
        <v>1464</v>
      </c>
      <c r="J97" s="10" t="s">
        <v>46</v>
      </c>
      <c r="K97" s="10" t="s">
        <v>1355</v>
      </c>
      <c r="L97" s="193"/>
      <c r="M97" s="196">
        <f t="shared" si="12"/>
        <v>53.099999999999994</v>
      </c>
      <c r="N97" s="196">
        <f t="shared" si="13"/>
        <v>43.899999999999991</v>
      </c>
      <c r="O97" s="196">
        <v>9.1999999999999993</v>
      </c>
      <c r="T97" s="196">
        <f t="shared" si="14"/>
        <v>17.110499999999995</v>
      </c>
      <c r="U97" s="196">
        <f t="shared" si="15"/>
        <v>5.04</v>
      </c>
      <c r="AR97" s="197">
        <f>N97*G97-T97</f>
        <v>88.261221299999988</v>
      </c>
      <c r="BB97" s="196">
        <f t="shared" si="16"/>
        <v>43.899999999999991</v>
      </c>
    </row>
    <row r="98" spans="1:54" x14ac:dyDescent="0.2">
      <c r="A98" s="186">
        <v>566</v>
      </c>
      <c r="B98" s="171" t="s">
        <v>120</v>
      </c>
      <c r="C98" s="171" t="s">
        <v>113</v>
      </c>
      <c r="D98" s="10" t="s">
        <v>1436</v>
      </c>
      <c r="E98" s="193" t="s">
        <v>1412</v>
      </c>
      <c r="F98" s="202">
        <v>41.7</v>
      </c>
      <c r="G98" s="200">
        <f t="shared" si="17"/>
        <v>2.4002669999999999</v>
      </c>
      <c r="H98" s="203">
        <v>2400.2669999999998</v>
      </c>
      <c r="I98" s="10" t="s">
        <v>1464</v>
      </c>
      <c r="J98" s="10" t="s">
        <v>46</v>
      </c>
      <c r="K98" s="10" t="s">
        <v>1349</v>
      </c>
      <c r="L98" s="193"/>
      <c r="M98" s="196">
        <f t="shared" si="12"/>
        <v>53.099999999999994</v>
      </c>
      <c r="N98" s="196">
        <f t="shared" si="13"/>
        <v>43.899999999999991</v>
      </c>
      <c r="O98" s="196">
        <v>9.1999999999999993</v>
      </c>
      <c r="T98" s="196">
        <f t="shared" si="14"/>
        <v>17.110499999999995</v>
      </c>
      <c r="U98" s="196">
        <f t="shared" si="15"/>
        <v>5.04</v>
      </c>
      <c r="AR98" s="197">
        <f>N98*G98-T98</f>
        <v>88.261221299999988</v>
      </c>
      <c r="BB98" s="196">
        <f t="shared" si="16"/>
        <v>43.899999999999991</v>
      </c>
    </row>
    <row r="99" spans="1:54" x14ac:dyDescent="0.2">
      <c r="A99" s="171">
        <v>568</v>
      </c>
      <c r="B99" s="171" t="s">
        <v>120</v>
      </c>
      <c r="C99" s="171" t="s">
        <v>113</v>
      </c>
      <c r="D99" s="10" t="s">
        <v>1438</v>
      </c>
      <c r="E99" s="193" t="s">
        <v>1412</v>
      </c>
      <c r="F99" s="202">
        <v>41.7</v>
      </c>
      <c r="G99" s="200">
        <f t="shared" si="17"/>
        <v>2.4002669999999999</v>
      </c>
      <c r="H99" s="203">
        <v>2400.2669999999998</v>
      </c>
      <c r="I99" s="10" t="s">
        <v>1464</v>
      </c>
      <c r="J99" s="10" t="s">
        <v>46</v>
      </c>
      <c r="K99" s="10" t="s">
        <v>1349</v>
      </c>
      <c r="L99" s="193"/>
      <c r="M99" s="196">
        <f t="shared" si="12"/>
        <v>53.099999999999994</v>
      </c>
      <c r="N99" s="196">
        <f t="shared" si="13"/>
        <v>43.899999999999991</v>
      </c>
      <c r="O99" s="196">
        <v>9.1999999999999993</v>
      </c>
      <c r="T99" s="196">
        <f t="shared" si="14"/>
        <v>17.110499999999995</v>
      </c>
      <c r="U99" s="196">
        <f t="shared" si="15"/>
        <v>5.04</v>
      </c>
      <c r="AR99" s="197">
        <f>N99*G99-T99</f>
        <v>88.261221299999988</v>
      </c>
      <c r="BB99" s="196">
        <f t="shared" si="16"/>
        <v>43.899999999999991</v>
      </c>
    </row>
    <row r="100" spans="1:54" x14ac:dyDescent="0.2">
      <c r="A100" s="171">
        <v>571</v>
      </c>
      <c r="B100" s="171" t="s">
        <v>120</v>
      </c>
      <c r="C100" s="171" t="s">
        <v>113</v>
      </c>
      <c r="D100" s="10" t="s">
        <v>1441</v>
      </c>
      <c r="E100" s="193" t="s">
        <v>1412</v>
      </c>
      <c r="F100" s="202">
        <v>41.7</v>
      </c>
      <c r="G100" s="200">
        <f t="shared" si="17"/>
        <v>2.4002669999999999</v>
      </c>
      <c r="H100" s="203">
        <v>2400.2669999999998</v>
      </c>
      <c r="I100" s="10" t="s">
        <v>1464</v>
      </c>
      <c r="J100" s="10" t="s">
        <v>46</v>
      </c>
      <c r="K100" s="10" t="s">
        <v>1349</v>
      </c>
      <c r="L100" s="193"/>
      <c r="M100" s="196">
        <f t="shared" si="12"/>
        <v>53.099999999999994</v>
      </c>
      <c r="N100" s="196">
        <f t="shared" si="13"/>
        <v>43.899999999999991</v>
      </c>
      <c r="O100" s="196">
        <v>9.1999999999999993</v>
      </c>
      <c r="T100" s="196">
        <f t="shared" si="14"/>
        <v>17.110499999999995</v>
      </c>
      <c r="U100" s="196">
        <f t="shared" si="15"/>
        <v>5.04</v>
      </c>
      <c r="BB100" s="196">
        <f t="shared" si="16"/>
        <v>43.899999999999991</v>
      </c>
    </row>
    <row r="101" spans="1:54" x14ac:dyDescent="0.2">
      <c r="A101" s="186">
        <v>603</v>
      </c>
      <c r="B101" s="171" t="s">
        <v>120</v>
      </c>
      <c r="C101" s="171" t="s">
        <v>114</v>
      </c>
      <c r="D101" s="10" t="s">
        <v>1443</v>
      </c>
      <c r="E101" s="193" t="s">
        <v>1412</v>
      </c>
      <c r="F101" s="204">
        <v>41.7</v>
      </c>
      <c r="G101" s="200" t="e">
        <f t="shared" si="17"/>
        <v>#VALUE!</v>
      </c>
      <c r="H101" s="211" t="s">
        <v>761</v>
      </c>
      <c r="I101" s="10" t="s">
        <v>1464</v>
      </c>
      <c r="J101" s="10" t="s">
        <v>46</v>
      </c>
      <c r="K101" s="10" t="s">
        <v>1355</v>
      </c>
      <c r="L101" s="193"/>
      <c r="M101" s="196">
        <f t="shared" si="12"/>
        <v>53.099999999999994</v>
      </c>
      <c r="N101" s="196">
        <f t="shared" si="13"/>
        <v>43.899999999999991</v>
      </c>
      <c r="O101" s="196">
        <v>9.1999999999999993</v>
      </c>
      <c r="T101" s="196">
        <f t="shared" si="14"/>
        <v>17.110499999999995</v>
      </c>
      <c r="U101" s="196">
        <f t="shared" si="15"/>
        <v>5.04</v>
      </c>
      <c r="AH101" s="197" t="e">
        <f>N101*G101-T101</f>
        <v>#VALUE!</v>
      </c>
      <c r="AR101" s="197" t="e">
        <f>O101*G101-U101</f>
        <v>#VALUE!</v>
      </c>
      <c r="BB101" s="196">
        <f t="shared" si="16"/>
        <v>43.899999999999991</v>
      </c>
    </row>
    <row r="102" spans="1:54" x14ac:dyDescent="0.2">
      <c r="A102" s="186">
        <v>605</v>
      </c>
      <c r="B102" s="171" t="s">
        <v>120</v>
      </c>
      <c r="C102" s="171" t="s">
        <v>114</v>
      </c>
      <c r="D102" s="10" t="s">
        <v>1445</v>
      </c>
      <c r="E102" s="193" t="s">
        <v>1412</v>
      </c>
      <c r="F102" s="204">
        <v>41.7</v>
      </c>
      <c r="G102" s="200" t="e">
        <f t="shared" si="17"/>
        <v>#VALUE!</v>
      </c>
      <c r="H102" s="211" t="s">
        <v>761</v>
      </c>
      <c r="I102" s="10" t="s">
        <v>1464</v>
      </c>
      <c r="J102" s="10" t="s">
        <v>46</v>
      </c>
      <c r="K102" s="10" t="s">
        <v>1355</v>
      </c>
      <c r="L102" s="193"/>
      <c r="M102" s="196">
        <f t="shared" si="12"/>
        <v>53.099999999999994</v>
      </c>
      <c r="N102" s="196">
        <f t="shared" si="13"/>
        <v>43.899999999999991</v>
      </c>
      <c r="O102" s="196">
        <v>9.1999999999999993</v>
      </c>
      <c r="T102" s="196">
        <f t="shared" si="14"/>
        <v>17.110499999999995</v>
      </c>
      <c r="U102" s="196">
        <f t="shared" si="15"/>
        <v>5.04</v>
      </c>
      <c r="AR102" s="197" t="e">
        <f>N102*G102-T102</f>
        <v>#VALUE!</v>
      </c>
      <c r="BB102" s="196">
        <f t="shared" si="16"/>
        <v>43.899999999999991</v>
      </c>
    </row>
    <row r="103" spans="1:54" x14ac:dyDescent="0.2">
      <c r="A103" s="186">
        <v>606</v>
      </c>
      <c r="B103" s="171" t="s">
        <v>120</v>
      </c>
      <c r="C103" s="171" t="s">
        <v>114</v>
      </c>
      <c r="D103" s="10" t="s">
        <v>1446</v>
      </c>
      <c r="E103" s="193" t="s">
        <v>1412</v>
      </c>
      <c r="F103" s="202">
        <v>41.7</v>
      </c>
      <c r="G103" s="200" t="e">
        <f t="shared" si="17"/>
        <v>#VALUE!</v>
      </c>
      <c r="H103" s="211" t="s">
        <v>761</v>
      </c>
      <c r="I103" s="10" t="s">
        <v>1464</v>
      </c>
      <c r="J103" s="10" t="s">
        <v>46</v>
      </c>
      <c r="K103" s="10" t="s">
        <v>1349</v>
      </c>
      <c r="L103" s="193"/>
      <c r="M103" s="196">
        <f t="shared" si="12"/>
        <v>53.099999999999994</v>
      </c>
      <c r="N103" s="196">
        <f t="shared" si="13"/>
        <v>43.899999999999991</v>
      </c>
      <c r="O103" s="196">
        <v>9.1999999999999993</v>
      </c>
      <c r="T103" s="196">
        <f t="shared" si="14"/>
        <v>17.110499999999995</v>
      </c>
      <c r="U103" s="196">
        <f t="shared" si="15"/>
        <v>5.04</v>
      </c>
      <c r="AH103" s="197" t="e">
        <f>N103*G103-T103</f>
        <v>#VALUE!</v>
      </c>
      <c r="AR103" s="197" t="e">
        <f>O103*G103-U103</f>
        <v>#VALUE!</v>
      </c>
      <c r="BB103" s="196">
        <f t="shared" si="16"/>
        <v>43.899999999999991</v>
      </c>
    </row>
    <row r="104" spans="1:54" x14ac:dyDescent="0.2">
      <c r="A104" s="186">
        <v>608</v>
      </c>
      <c r="B104" s="171" t="s">
        <v>120</v>
      </c>
      <c r="C104" s="171" t="s">
        <v>114</v>
      </c>
      <c r="D104" s="10" t="s">
        <v>1448</v>
      </c>
      <c r="E104" s="193" t="s">
        <v>1412</v>
      </c>
      <c r="F104" s="204">
        <v>41.7</v>
      </c>
      <c r="G104" s="200" t="e">
        <f t="shared" si="17"/>
        <v>#VALUE!</v>
      </c>
      <c r="H104" s="211" t="s">
        <v>761</v>
      </c>
      <c r="I104" s="10" t="s">
        <v>1464</v>
      </c>
      <c r="J104" s="10" t="s">
        <v>46</v>
      </c>
      <c r="K104" s="10" t="s">
        <v>1349</v>
      </c>
      <c r="L104" s="193"/>
      <c r="M104" s="196">
        <f t="shared" si="12"/>
        <v>53.099999999999994</v>
      </c>
      <c r="N104" s="196">
        <f t="shared" ref="N104:N135" si="18">M104-O104-P104</f>
        <v>43.899999999999991</v>
      </c>
      <c r="O104" s="196">
        <v>9.1999999999999993</v>
      </c>
      <c r="T104" s="196">
        <f t="shared" ref="T104:T135" si="19">(3.26+0.19+3.26)*2.55</f>
        <v>17.110499999999995</v>
      </c>
      <c r="U104" s="196">
        <f t="shared" ref="U104:U135" si="20">1.05*2.4*2</f>
        <v>5.04</v>
      </c>
      <c r="AR104" s="197" t="e">
        <f>N104*G104-T104</f>
        <v>#VALUE!</v>
      </c>
      <c r="BB104" s="196">
        <f t="shared" ref="BB104:BB135" si="21">N104+P104</f>
        <v>43.899999999999991</v>
      </c>
    </row>
    <row r="105" spans="1:54" x14ac:dyDescent="0.2">
      <c r="A105" s="171">
        <v>370</v>
      </c>
      <c r="B105" s="171" t="s">
        <v>118</v>
      </c>
      <c r="C105" s="171" t="s">
        <v>114</v>
      </c>
      <c r="D105" s="10" t="s">
        <v>1375</v>
      </c>
      <c r="E105" s="193" t="s">
        <v>1373</v>
      </c>
      <c r="F105" s="194">
        <v>41.7</v>
      </c>
      <c r="G105" s="200">
        <f t="shared" si="17"/>
        <v>2.4002669999999999</v>
      </c>
      <c r="H105" s="208">
        <v>2400.2669999999998</v>
      </c>
      <c r="I105" s="10" t="s">
        <v>1464</v>
      </c>
      <c r="J105" s="10" t="s">
        <v>46</v>
      </c>
      <c r="K105" s="10" t="s">
        <v>1377</v>
      </c>
      <c r="L105" s="193"/>
      <c r="M105" s="196">
        <f t="shared" si="12"/>
        <v>53.099999999999994</v>
      </c>
      <c r="N105" s="196">
        <f t="shared" si="18"/>
        <v>43.899999999999991</v>
      </c>
      <c r="O105" s="196">
        <v>9.1999999999999993</v>
      </c>
      <c r="T105" s="196">
        <f t="shared" si="19"/>
        <v>17.110499999999995</v>
      </c>
      <c r="U105" s="196">
        <f t="shared" si="20"/>
        <v>5.04</v>
      </c>
      <c r="AH105" s="197">
        <f>N105*G105-T105</f>
        <v>88.261221299999988</v>
      </c>
      <c r="AL105" s="197">
        <f>O105*G105-U105</f>
        <v>17.042456399999999</v>
      </c>
      <c r="AP105" s="197">
        <f>P105*G105-V105</f>
        <v>0</v>
      </c>
      <c r="AR105" s="197">
        <f>Q105*G105-W105</f>
        <v>0</v>
      </c>
      <c r="BB105" s="196">
        <f t="shared" si="21"/>
        <v>43.899999999999991</v>
      </c>
    </row>
    <row r="106" spans="1:54" x14ac:dyDescent="0.2">
      <c r="A106" s="186">
        <v>297</v>
      </c>
      <c r="B106" s="171" t="s">
        <v>118</v>
      </c>
      <c r="C106" s="171" t="s">
        <v>112</v>
      </c>
      <c r="D106" s="10" t="s">
        <v>1347</v>
      </c>
      <c r="E106" s="193" t="s">
        <v>1344</v>
      </c>
      <c r="F106" s="204">
        <v>41.7</v>
      </c>
      <c r="G106" s="200" t="e">
        <f t="shared" si="17"/>
        <v>#VALUE!</v>
      </c>
      <c r="H106" s="211" t="s">
        <v>1348</v>
      </c>
      <c r="I106" s="10" t="s">
        <v>1464</v>
      </c>
      <c r="J106" s="10" t="s">
        <v>317</v>
      </c>
      <c r="K106" s="10" t="s">
        <v>1349</v>
      </c>
      <c r="L106" s="193"/>
      <c r="M106" s="196">
        <f t="shared" ref="M106:M142" si="22">14.9*2+9.25*2+9.2-2.1*2</f>
        <v>53.3</v>
      </c>
      <c r="N106" s="196">
        <f t="shared" si="18"/>
        <v>37.799999999999997</v>
      </c>
      <c r="O106" s="196">
        <v>9.1999999999999993</v>
      </c>
      <c r="P106" s="196">
        <v>6.3</v>
      </c>
      <c r="T106" s="196">
        <f t="shared" si="19"/>
        <v>17.110499999999995</v>
      </c>
      <c r="U106" s="196">
        <f t="shared" si="20"/>
        <v>5.04</v>
      </c>
      <c r="AJ106" s="197" t="e">
        <f>N106*G106-T106</f>
        <v>#VALUE!</v>
      </c>
      <c r="BB106" s="196">
        <f t="shared" si="21"/>
        <v>44.099999999999994</v>
      </c>
    </row>
    <row r="107" spans="1:54" x14ac:dyDescent="0.2">
      <c r="A107" s="186">
        <v>300</v>
      </c>
      <c r="B107" s="171" t="s">
        <v>118</v>
      </c>
      <c r="C107" s="171" t="s">
        <v>112</v>
      </c>
      <c r="D107" s="10" t="s">
        <v>1353</v>
      </c>
      <c r="E107" s="193" t="s">
        <v>1344</v>
      </c>
      <c r="F107" s="204">
        <v>41.7</v>
      </c>
      <c r="G107" s="200">
        <f t="shared" si="17"/>
        <v>2.4002669999999999</v>
      </c>
      <c r="H107" s="203">
        <v>2400.2669999999998</v>
      </c>
      <c r="I107" s="10" t="s">
        <v>1464</v>
      </c>
      <c r="J107" s="10" t="s">
        <v>317</v>
      </c>
      <c r="K107" s="10" t="s">
        <v>1349</v>
      </c>
      <c r="L107" s="193"/>
      <c r="M107" s="196">
        <f t="shared" si="22"/>
        <v>53.3</v>
      </c>
      <c r="N107" s="196">
        <f t="shared" si="18"/>
        <v>37.799999999999997</v>
      </c>
      <c r="O107" s="196">
        <v>9.1999999999999993</v>
      </c>
      <c r="P107" s="196">
        <v>6.3</v>
      </c>
      <c r="T107" s="196">
        <f t="shared" si="19"/>
        <v>17.110499999999995</v>
      </c>
      <c r="U107" s="196">
        <f t="shared" si="20"/>
        <v>5.04</v>
      </c>
      <c r="AH107" s="197">
        <f>N107*G107-T107</f>
        <v>73.619592600000004</v>
      </c>
      <c r="AJ107" s="197">
        <f>O107*G107-U107</f>
        <v>17.042456399999999</v>
      </c>
      <c r="BB107" s="196">
        <f t="shared" si="21"/>
        <v>44.099999999999994</v>
      </c>
    </row>
    <row r="108" spans="1:54" x14ac:dyDescent="0.2">
      <c r="A108" s="186">
        <v>302</v>
      </c>
      <c r="B108" s="171" t="s">
        <v>118</v>
      </c>
      <c r="C108" s="171" t="s">
        <v>112</v>
      </c>
      <c r="D108" s="10" t="s">
        <v>1356</v>
      </c>
      <c r="E108" s="193" t="s">
        <v>1344</v>
      </c>
      <c r="F108" s="202">
        <v>41.7</v>
      </c>
      <c r="G108" s="200">
        <f t="shared" si="17"/>
        <v>2.4002669999999999</v>
      </c>
      <c r="H108" s="203">
        <v>2400.2669999999998</v>
      </c>
      <c r="I108" s="10" t="s">
        <v>1464</v>
      </c>
      <c r="J108" s="10" t="s">
        <v>317</v>
      </c>
      <c r="K108" s="10" t="s">
        <v>1349</v>
      </c>
      <c r="L108" s="193"/>
      <c r="M108" s="196">
        <f t="shared" si="22"/>
        <v>53.3</v>
      </c>
      <c r="N108" s="196">
        <f t="shared" si="18"/>
        <v>37.799999999999997</v>
      </c>
      <c r="O108" s="196">
        <v>9.1999999999999993</v>
      </c>
      <c r="P108" s="196">
        <v>6.3</v>
      </c>
      <c r="T108" s="196">
        <f t="shared" si="19"/>
        <v>17.110499999999995</v>
      </c>
      <c r="U108" s="196">
        <f t="shared" si="20"/>
        <v>5.04</v>
      </c>
      <c r="Z108" s="197">
        <f>N108*H108/1000-T108</f>
        <v>73.619592600000004</v>
      </c>
      <c r="AE108" s="197">
        <f>O108*H108/1000-U108</f>
        <v>17.042456399999995</v>
      </c>
      <c r="AH108" s="197">
        <f>P108*H108/1000-V108</f>
        <v>15.121682099999997</v>
      </c>
      <c r="AJ108" s="197">
        <f>Q108*H108/1000-W108</f>
        <v>0</v>
      </c>
      <c r="BB108" s="196">
        <f t="shared" si="21"/>
        <v>44.099999999999994</v>
      </c>
    </row>
    <row r="109" spans="1:54" x14ac:dyDescent="0.2">
      <c r="A109" s="186">
        <v>303</v>
      </c>
      <c r="B109" s="171" t="s">
        <v>118</v>
      </c>
      <c r="C109" s="171" t="s">
        <v>112</v>
      </c>
      <c r="D109" s="10" t="s">
        <v>1357</v>
      </c>
      <c r="E109" s="193" t="s">
        <v>1344</v>
      </c>
      <c r="F109" s="202">
        <v>41.7</v>
      </c>
      <c r="G109" s="200">
        <f t="shared" si="17"/>
        <v>2.4002669999999999</v>
      </c>
      <c r="H109" s="203">
        <v>2400.2669999999998</v>
      </c>
      <c r="I109" s="10" t="s">
        <v>1464</v>
      </c>
      <c r="J109" s="10" t="s">
        <v>317</v>
      </c>
      <c r="K109" s="10" t="s">
        <v>1349</v>
      </c>
      <c r="L109" s="193"/>
      <c r="M109" s="196">
        <f t="shared" si="22"/>
        <v>53.3</v>
      </c>
      <c r="N109" s="196">
        <f t="shared" si="18"/>
        <v>37.799999999999997</v>
      </c>
      <c r="O109" s="196">
        <v>9.1999999999999993</v>
      </c>
      <c r="P109" s="196">
        <v>6.3</v>
      </c>
      <c r="T109" s="196">
        <f t="shared" si="19"/>
        <v>17.110499999999995</v>
      </c>
      <c r="U109" s="196">
        <f t="shared" si="20"/>
        <v>5.04</v>
      </c>
      <c r="AH109" s="197">
        <f>N109*G109-T109</f>
        <v>73.619592600000004</v>
      </c>
      <c r="AJ109" s="197">
        <f>O109*G109-U109</f>
        <v>17.042456399999999</v>
      </c>
      <c r="BB109" s="196">
        <f t="shared" si="21"/>
        <v>44.099999999999994</v>
      </c>
    </row>
    <row r="110" spans="1:54" x14ac:dyDescent="0.2">
      <c r="A110" s="171">
        <v>304</v>
      </c>
      <c r="B110" s="171" t="s">
        <v>118</v>
      </c>
      <c r="C110" s="171" t="s">
        <v>112</v>
      </c>
      <c r="D110" s="10" t="s">
        <v>1358</v>
      </c>
      <c r="E110" s="193" t="s">
        <v>1344</v>
      </c>
      <c r="F110" s="202">
        <v>41.7</v>
      </c>
      <c r="G110" s="200">
        <f t="shared" si="17"/>
        <v>2.4002669999999999</v>
      </c>
      <c r="H110" s="203">
        <v>2400.2669999999998</v>
      </c>
      <c r="I110" s="10" t="s">
        <v>1464</v>
      </c>
      <c r="J110" s="10" t="s">
        <v>317</v>
      </c>
      <c r="K110" s="10" t="s">
        <v>1349</v>
      </c>
      <c r="L110" s="193"/>
      <c r="M110" s="196">
        <f t="shared" si="22"/>
        <v>53.3</v>
      </c>
      <c r="N110" s="196">
        <f t="shared" si="18"/>
        <v>37.799999999999997</v>
      </c>
      <c r="O110" s="196">
        <v>9.1999999999999993</v>
      </c>
      <c r="P110" s="196">
        <v>6.3</v>
      </c>
      <c r="T110" s="196">
        <f t="shared" si="19"/>
        <v>17.110499999999995</v>
      </c>
      <c r="U110" s="196">
        <f t="shared" si="20"/>
        <v>5.04</v>
      </c>
      <c r="AH110" s="197">
        <f>N110*G110-T110</f>
        <v>73.619592600000004</v>
      </c>
      <c r="AJ110" s="197">
        <f>O110*G110-U110</f>
        <v>17.042456399999999</v>
      </c>
      <c r="BB110" s="196">
        <f t="shared" si="21"/>
        <v>44.099999999999994</v>
      </c>
    </row>
    <row r="111" spans="1:54" x14ac:dyDescent="0.2">
      <c r="A111" s="186">
        <v>336</v>
      </c>
      <c r="B111" s="171" t="s">
        <v>118</v>
      </c>
      <c r="C111" s="171" t="s">
        <v>113</v>
      </c>
      <c r="D111" s="10" t="s">
        <v>1362</v>
      </c>
      <c r="E111" s="193" t="s">
        <v>1344</v>
      </c>
      <c r="F111" s="202">
        <v>41.7</v>
      </c>
      <c r="G111" s="200">
        <f t="shared" si="17"/>
        <v>2.4002669999999999</v>
      </c>
      <c r="H111" s="203">
        <v>2400.2669999999998</v>
      </c>
      <c r="I111" s="10" t="s">
        <v>1464</v>
      </c>
      <c r="J111" s="10" t="s">
        <v>317</v>
      </c>
      <c r="K111" s="10" t="s">
        <v>1349</v>
      </c>
      <c r="L111" s="193"/>
      <c r="M111" s="196">
        <f t="shared" si="22"/>
        <v>53.3</v>
      </c>
      <c r="N111" s="196">
        <f t="shared" si="18"/>
        <v>37.799999999999997</v>
      </c>
      <c r="O111" s="196">
        <v>9.1999999999999993</v>
      </c>
      <c r="P111" s="196">
        <v>6.3</v>
      </c>
      <c r="T111" s="196">
        <f t="shared" si="19"/>
        <v>17.110499999999995</v>
      </c>
      <c r="U111" s="196">
        <f t="shared" si="20"/>
        <v>5.04</v>
      </c>
      <c r="BB111" s="196">
        <f t="shared" si="21"/>
        <v>44.099999999999994</v>
      </c>
    </row>
    <row r="112" spans="1:54" x14ac:dyDescent="0.2">
      <c r="A112" s="186">
        <v>339</v>
      </c>
      <c r="B112" s="171" t="s">
        <v>118</v>
      </c>
      <c r="C112" s="171" t="s">
        <v>113</v>
      </c>
      <c r="D112" s="10" t="s">
        <v>1367</v>
      </c>
      <c r="E112" s="193" t="s">
        <v>1344</v>
      </c>
      <c r="F112" s="202">
        <v>41.7</v>
      </c>
      <c r="G112" s="200">
        <f t="shared" si="17"/>
        <v>2.4002669999999999</v>
      </c>
      <c r="H112" s="203">
        <v>2400.2669999999998</v>
      </c>
      <c r="I112" s="10" t="s">
        <v>1464</v>
      </c>
      <c r="J112" s="10" t="s">
        <v>317</v>
      </c>
      <c r="K112" s="10" t="s">
        <v>1349</v>
      </c>
      <c r="L112" s="193"/>
      <c r="M112" s="196">
        <f t="shared" si="22"/>
        <v>53.3</v>
      </c>
      <c r="N112" s="196">
        <f t="shared" si="18"/>
        <v>37.799999999999997</v>
      </c>
      <c r="O112" s="196">
        <v>9.1999999999999993</v>
      </c>
      <c r="P112" s="196">
        <v>6.3</v>
      </c>
      <c r="T112" s="196">
        <f t="shared" si="19"/>
        <v>17.110499999999995</v>
      </c>
      <c r="U112" s="196">
        <f t="shared" si="20"/>
        <v>5.04</v>
      </c>
      <c r="BB112" s="196">
        <f t="shared" si="21"/>
        <v>44.099999999999994</v>
      </c>
    </row>
    <row r="113" spans="1:54" x14ac:dyDescent="0.2">
      <c r="A113" s="186">
        <v>341</v>
      </c>
      <c r="B113" s="171" t="s">
        <v>118</v>
      </c>
      <c r="C113" s="171" t="s">
        <v>113</v>
      </c>
      <c r="D113" s="10" t="s">
        <v>1369</v>
      </c>
      <c r="E113" s="193" t="s">
        <v>1344</v>
      </c>
      <c r="F113" s="202">
        <v>41.7</v>
      </c>
      <c r="G113" s="200">
        <f t="shared" si="17"/>
        <v>2.4002669999999999</v>
      </c>
      <c r="H113" s="203">
        <v>2400.2669999999998</v>
      </c>
      <c r="I113" s="10" t="s">
        <v>1464</v>
      </c>
      <c r="J113" s="10" t="s">
        <v>317</v>
      </c>
      <c r="K113" s="10" t="s">
        <v>1349</v>
      </c>
      <c r="L113" s="193"/>
      <c r="M113" s="196">
        <f t="shared" si="22"/>
        <v>53.3</v>
      </c>
      <c r="N113" s="196">
        <f t="shared" si="18"/>
        <v>37.799999999999997</v>
      </c>
      <c r="O113" s="196">
        <v>9.1999999999999993</v>
      </c>
      <c r="P113" s="196">
        <v>6.3</v>
      </c>
      <c r="T113" s="196">
        <f t="shared" si="19"/>
        <v>17.110499999999995</v>
      </c>
      <c r="U113" s="196">
        <f t="shared" si="20"/>
        <v>5.04</v>
      </c>
      <c r="AU113" s="197">
        <f>N113*G113-T113</f>
        <v>73.619592600000004</v>
      </c>
      <c r="BB113" s="196">
        <f t="shared" si="21"/>
        <v>44.099999999999994</v>
      </c>
    </row>
    <row r="114" spans="1:54" x14ac:dyDescent="0.2">
      <c r="A114" s="186">
        <v>342</v>
      </c>
      <c r="B114" s="171" t="s">
        <v>118</v>
      </c>
      <c r="C114" s="171" t="s">
        <v>113</v>
      </c>
      <c r="D114" s="10" t="s">
        <v>1370</v>
      </c>
      <c r="E114" s="193" t="s">
        <v>1344</v>
      </c>
      <c r="F114" s="202">
        <v>41.7</v>
      </c>
      <c r="G114" s="200" t="e">
        <f t="shared" si="17"/>
        <v>#VALUE!</v>
      </c>
      <c r="H114" s="211" t="s">
        <v>792</v>
      </c>
      <c r="I114" s="10" t="s">
        <v>1464</v>
      </c>
      <c r="J114" s="10" t="s">
        <v>317</v>
      </c>
      <c r="K114" s="10" t="s">
        <v>1349</v>
      </c>
      <c r="L114" s="193"/>
      <c r="M114" s="196">
        <f t="shared" si="22"/>
        <v>53.3</v>
      </c>
      <c r="N114" s="196">
        <f t="shared" si="18"/>
        <v>37.799999999999997</v>
      </c>
      <c r="O114" s="196">
        <v>9.1999999999999993</v>
      </c>
      <c r="P114" s="196">
        <v>6.3</v>
      </c>
      <c r="T114" s="196">
        <f t="shared" si="19"/>
        <v>17.110499999999995</v>
      </c>
      <c r="U114" s="196">
        <f t="shared" si="20"/>
        <v>5.04</v>
      </c>
      <c r="AL114" s="197" t="e">
        <f>N114*H114/1000-T114</f>
        <v>#VALUE!</v>
      </c>
      <c r="AM114" s="197" t="e">
        <f>O114*H114/1000-U114</f>
        <v>#VALUE!</v>
      </c>
      <c r="AP114" s="197" t="e">
        <f>P114*H114/1000-V114</f>
        <v>#VALUE!</v>
      </c>
      <c r="BB114" s="196">
        <f t="shared" si="21"/>
        <v>44.099999999999994</v>
      </c>
    </row>
    <row r="115" spans="1:54" x14ac:dyDescent="0.2">
      <c r="A115" s="186">
        <v>371</v>
      </c>
      <c r="B115" s="171" t="s">
        <v>118</v>
      </c>
      <c r="C115" s="171" t="s">
        <v>114</v>
      </c>
      <c r="D115" s="10" t="s">
        <v>1378</v>
      </c>
      <c r="E115" s="193" t="s">
        <v>1373</v>
      </c>
      <c r="F115" s="194">
        <v>41.7</v>
      </c>
      <c r="G115" s="200" t="e">
        <f t="shared" si="17"/>
        <v>#VALUE!</v>
      </c>
      <c r="H115" s="211" t="s">
        <v>1379</v>
      </c>
      <c r="I115" s="10" t="s">
        <v>1464</v>
      </c>
      <c r="J115" s="10" t="s">
        <v>317</v>
      </c>
      <c r="K115" s="10" t="s">
        <v>1349</v>
      </c>
      <c r="L115" s="193"/>
      <c r="M115" s="196">
        <f t="shared" si="22"/>
        <v>53.3</v>
      </c>
      <c r="N115" s="196">
        <f t="shared" si="18"/>
        <v>37.799999999999997</v>
      </c>
      <c r="O115" s="196">
        <v>9.1999999999999993</v>
      </c>
      <c r="P115" s="196">
        <v>6.3</v>
      </c>
      <c r="T115" s="196">
        <f t="shared" si="19"/>
        <v>17.110499999999995</v>
      </c>
      <c r="U115" s="196">
        <f t="shared" si="20"/>
        <v>5.04</v>
      </c>
      <c r="BB115" s="196">
        <f t="shared" si="21"/>
        <v>44.099999999999994</v>
      </c>
    </row>
    <row r="116" spans="1:54" x14ac:dyDescent="0.2">
      <c r="A116" s="171">
        <v>373</v>
      </c>
      <c r="B116" s="171" t="s">
        <v>118</v>
      </c>
      <c r="C116" s="171" t="s">
        <v>114</v>
      </c>
      <c r="D116" s="10" t="s">
        <v>1381</v>
      </c>
      <c r="E116" s="193" t="s">
        <v>1373</v>
      </c>
      <c r="F116" s="194">
        <v>41.7</v>
      </c>
      <c r="G116" s="200" t="e">
        <f t="shared" si="17"/>
        <v>#VALUE!</v>
      </c>
      <c r="H116" s="211" t="s">
        <v>1379</v>
      </c>
      <c r="I116" s="10" t="s">
        <v>1464</v>
      </c>
      <c r="J116" s="10" t="s">
        <v>317</v>
      </c>
      <c r="K116" s="10" t="s">
        <v>1349</v>
      </c>
      <c r="L116" s="193"/>
      <c r="M116" s="196">
        <f t="shared" si="22"/>
        <v>53.3</v>
      </c>
      <c r="N116" s="196">
        <f t="shared" si="18"/>
        <v>37.799999999999997</v>
      </c>
      <c r="O116" s="196">
        <v>9.1999999999999993</v>
      </c>
      <c r="P116" s="196">
        <v>6.3</v>
      </c>
      <c r="T116" s="196">
        <f t="shared" si="19"/>
        <v>17.110499999999995</v>
      </c>
      <c r="U116" s="196">
        <f t="shared" si="20"/>
        <v>5.04</v>
      </c>
      <c r="AM116" s="197" t="e">
        <f t="shared" ref="AM116:AM121" si="23">N116*G116-T116</f>
        <v>#VALUE!</v>
      </c>
      <c r="AP116" s="197" t="e">
        <f t="shared" ref="AP116:AP121" si="24">O116*G116-U116</f>
        <v>#VALUE!</v>
      </c>
      <c r="AS116" s="197" t="e">
        <f>P116*G116-V116</f>
        <v>#VALUE!</v>
      </c>
      <c r="AT116" s="197" t="e">
        <f>Q116*G116-W116</f>
        <v>#VALUE!</v>
      </c>
      <c r="AX116" s="197" t="e">
        <f>R116*G116-X116</f>
        <v>#VALUE!</v>
      </c>
      <c r="BB116" s="196">
        <f t="shared" si="21"/>
        <v>44.099999999999994</v>
      </c>
    </row>
    <row r="117" spans="1:54" x14ac:dyDescent="0.2">
      <c r="A117" s="186">
        <v>407</v>
      </c>
      <c r="B117" s="171" t="s">
        <v>119</v>
      </c>
      <c r="C117" s="171" t="s">
        <v>112</v>
      </c>
      <c r="D117" s="10" t="s">
        <v>1384</v>
      </c>
      <c r="E117" s="193" t="s">
        <v>1373</v>
      </c>
      <c r="F117" s="194">
        <v>41.7</v>
      </c>
      <c r="G117" s="200">
        <f t="shared" si="17"/>
        <v>2.4002669999999999</v>
      </c>
      <c r="H117" s="208">
        <v>2400.2669999999998</v>
      </c>
      <c r="I117" s="10" t="s">
        <v>1464</v>
      </c>
      <c r="J117" s="10" t="s">
        <v>317</v>
      </c>
      <c r="K117" s="10" t="s">
        <v>1349</v>
      </c>
      <c r="L117" s="193"/>
      <c r="M117" s="196">
        <f t="shared" si="22"/>
        <v>53.3</v>
      </c>
      <c r="N117" s="196">
        <f t="shared" si="18"/>
        <v>37.799999999999997</v>
      </c>
      <c r="O117" s="196">
        <v>9.1999999999999993</v>
      </c>
      <c r="P117" s="196">
        <v>6.3</v>
      </c>
      <c r="T117" s="196">
        <f t="shared" si="19"/>
        <v>17.110499999999995</v>
      </c>
      <c r="U117" s="196">
        <f t="shared" si="20"/>
        <v>5.04</v>
      </c>
      <c r="AM117" s="197">
        <f t="shared" si="23"/>
        <v>73.619592600000004</v>
      </c>
      <c r="AP117" s="197">
        <f t="shared" si="24"/>
        <v>17.042456399999999</v>
      </c>
      <c r="AT117" s="197">
        <f>P117*G117-V117</f>
        <v>15.121682099999999</v>
      </c>
      <c r="BB117" s="196">
        <f t="shared" si="21"/>
        <v>44.099999999999994</v>
      </c>
    </row>
    <row r="118" spans="1:54" x14ac:dyDescent="0.2">
      <c r="A118" s="186">
        <v>410</v>
      </c>
      <c r="B118" s="171" t="s">
        <v>119</v>
      </c>
      <c r="C118" s="171" t="s">
        <v>112</v>
      </c>
      <c r="D118" s="10" t="s">
        <v>1390</v>
      </c>
      <c r="E118" s="193" t="s">
        <v>1373</v>
      </c>
      <c r="F118" s="194">
        <v>41.7</v>
      </c>
      <c r="G118" s="200">
        <f t="shared" si="17"/>
        <v>2.4002669999999999</v>
      </c>
      <c r="H118" s="208">
        <v>2400.2669999999998</v>
      </c>
      <c r="I118" s="10" t="s">
        <v>1464</v>
      </c>
      <c r="J118" s="10" t="s">
        <v>317</v>
      </c>
      <c r="K118" s="10" t="s">
        <v>1349</v>
      </c>
      <c r="L118" s="193"/>
      <c r="M118" s="196">
        <f t="shared" si="22"/>
        <v>53.3</v>
      </c>
      <c r="N118" s="196">
        <f t="shared" si="18"/>
        <v>37.799999999999997</v>
      </c>
      <c r="O118" s="196">
        <v>9.1999999999999993</v>
      </c>
      <c r="P118" s="196">
        <v>6.3</v>
      </c>
      <c r="T118" s="196">
        <f t="shared" si="19"/>
        <v>17.110499999999995</v>
      </c>
      <c r="U118" s="196">
        <f t="shared" si="20"/>
        <v>5.04</v>
      </c>
      <c r="AM118" s="197">
        <f t="shared" si="23"/>
        <v>73.619592600000004</v>
      </c>
      <c r="AP118" s="197">
        <f t="shared" si="24"/>
        <v>17.042456399999999</v>
      </c>
      <c r="AT118" s="197">
        <f>P118*G118-V118</f>
        <v>15.121682099999999</v>
      </c>
      <c r="BB118" s="196">
        <f t="shared" si="21"/>
        <v>44.099999999999994</v>
      </c>
    </row>
    <row r="119" spans="1:54" x14ac:dyDescent="0.2">
      <c r="A119" s="171">
        <v>412</v>
      </c>
      <c r="B119" s="171" t="s">
        <v>119</v>
      </c>
      <c r="C119" s="171" t="s">
        <v>112</v>
      </c>
      <c r="D119" s="10" t="s">
        <v>1393</v>
      </c>
      <c r="E119" s="193" t="s">
        <v>1373</v>
      </c>
      <c r="F119" s="194">
        <v>41.7</v>
      </c>
      <c r="G119" s="200">
        <f t="shared" si="17"/>
        <v>2.4002669999999999</v>
      </c>
      <c r="H119" s="208">
        <v>2400.2669999999998</v>
      </c>
      <c r="I119" s="10" t="s">
        <v>1464</v>
      </c>
      <c r="J119" s="10" t="s">
        <v>317</v>
      </c>
      <c r="K119" s="10" t="s">
        <v>1349</v>
      </c>
      <c r="L119" s="193"/>
      <c r="M119" s="196">
        <f t="shared" si="22"/>
        <v>53.3</v>
      </c>
      <c r="N119" s="196">
        <f t="shared" si="18"/>
        <v>37.799999999999997</v>
      </c>
      <c r="O119" s="196">
        <v>9.1999999999999993</v>
      </c>
      <c r="P119" s="196">
        <v>6.3</v>
      </c>
      <c r="T119" s="196">
        <f t="shared" si="19"/>
        <v>17.110499999999995</v>
      </c>
      <c r="U119" s="196">
        <f t="shared" si="20"/>
        <v>5.04</v>
      </c>
      <c r="AM119" s="197">
        <f t="shared" si="23"/>
        <v>73.619592600000004</v>
      </c>
      <c r="AP119" s="197">
        <f t="shared" si="24"/>
        <v>17.042456399999999</v>
      </c>
      <c r="BB119" s="196">
        <f t="shared" si="21"/>
        <v>44.099999999999994</v>
      </c>
    </row>
    <row r="120" spans="1:54" x14ac:dyDescent="0.2">
      <c r="A120" s="186">
        <v>413</v>
      </c>
      <c r="B120" s="171" t="s">
        <v>119</v>
      </c>
      <c r="C120" s="171" t="s">
        <v>112</v>
      </c>
      <c r="D120" s="10" t="s">
        <v>1394</v>
      </c>
      <c r="E120" s="193" t="s">
        <v>1373</v>
      </c>
      <c r="F120" s="194">
        <v>41.7</v>
      </c>
      <c r="G120" s="200">
        <f t="shared" si="17"/>
        <v>2.4002669999999999</v>
      </c>
      <c r="H120" s="208">
        <v>2400.2669999999998</v>
      </c>
      <c r="I120" s="10" t="s">
        <v>1464</v>
      </c>
      <c r="J120" s="10" t="s">
        <v>317</v>
      </c>
      <c r="K120" s="10" t="s">
        <v>1349</v>
      </c>
      <c r="L120" s="193"/>
      <c r="M120" s="196">
        <f t="shared" si="22"/>
        <v>53.3</v>
      </c>
      <c r="N120" s="196">
        <f t="shared" si="18"/>
        <v>37.799999999999997</v>
      </c>
      <c r="O120" s="196">
        <v>9.1999999999999993</v>
      </c>
      <c r="P120" s="196">
        <v>6.3</v>
      </c>
      <c r="T120" s="196">
        <f t="shared" si="19"/>
        <v>17.110499999999995</v>
      </c>
      <c r="U120" s="196">
        <f t="shared" si="20"/>
        <v>5.04</v>
      </c>
      <c r="AM120" s="197">
        <f t="shared" si="23"/>
        <v>73.619592600000004</v>
      </c>
      <c r="AP120" s="197">
        <f t="shared" si="24"/>
        <v>17.042456399999999</v>
      </c>
      <c r="AS120" s="197">
        <f>P120*G120-V120</f>
        <v>15.121682099999999</v>
      </c>
      <c r="BB120" s="196">
        <f t="shared" si="21"/>
        <v>44.099999999999994</v>
      </c>
    </row>
    <row r="121" spans="1:54" x14ac:dyDescent="0.2">
      <c r="A121" s="186">
        <v>414</v>
      </c>
      <c r="B121" s="171" t="s">
        <v>119</v>
      </c>
      <c r="C121" s="171" t="s">
        <v>112</v>
      </c>
      <c r="D121" s="10" t="s">
        <v>1395</v>
      </c>
      <c r="E121" s="193" t="s">
        <v>1373</v>
      </c>
      <c r="F121" s="194">
        <v>41.7</v>
      </c>
      <c r="G121" s="200">
        <f t="shared" si="17"/>
        <v>2.4002669999999999</v>
      </c>
      <c r="H121" s="208">
        <v>2400.2669999999998</v>
      </c>
      <c r="I121" s="10" t="s">
        <v>1464</v>
      </c>
      <c r="J121" s="10" t="s">
        <v>317</v>
      </c>
      <c r="K121" s="10" t="s">
        <v>1349</v>
      </c>
      <c r="L121" s="193"/>
      <c r="M121" s="196">
        <f t="shared" si="22"/>
        <v>53.3</v>
      </c>
      <c r="N121" s="196">
        <f t="shared" si="18"/>
        <v>37.799999999999997</v>
      </c>
      <c r="O121" s="196">
        <v>9.1999999999999993</v>
      </c>
      <c r="P121" s="196">
        <v>6.3</v>
      </c>
      <c r="T121" s="196">
        <f t="shared" si="19"/>
        <v>17.110499999999995</v>
      </c>
      <c r="U121" s="196">
        <f t="shared" si="20"/>
        <v>5.04</v>
      </c>
      <c r="AM121" s="197">
        <f t="shared" si="23"/>
        <v>73.619592600000004</v>
      </c>
      <c r="AP121" s="197">
        <f t="shared" si="24"/>
        <v>17.042456399999999</v>
      </c>
      <c r="AT121" s="197">
        <f>P121*G121-V121</f>
        <v>15.121682099999999</v>
      </c>
      <c r="BB121" s="196">
        <f t="shared" si="21"/>
        <v>44.099999999999994</v>
      </c>
    </row>
    <row r="122" spans="1:54" x14ac:dyDescent="0.2">
      <c r="A122" s="186">
        <v>447</v>
      </c>
      <c r="B122" s="171" t="s">
        <v>119</v>
      </c>
      <c r="C122" s="171" t="s">
        <v>113</v>
      </c>
      <c r="D122" s="10" t="s">
        <v>1399</v>
      </c>
      <c r="E122" s="193" t="s">
        <v>1344</v>
      </c>
      <c r="F122" s="200">
        <v>41.7</v>
      </c>
      <c r="G122" s="200" t="e">
        <f t="shared" si="17"/>
        <v>#VALUE!</v>
      </c>
      <c r="H122" s="211" t="s">
        <v>1400</v>
      </c>
      <c r="I122" s="10" t="s">
        <v>1464</v>
      </c>
      <c r="J122" s="10" t="s">
        <v>317</v>
      </c>
      <c r="K122" s="10" t="s">
        <v>1349</v>
      </c>
      <c r="L122" s="193"/>
      <c r="M122" s="196">
        <f t="shared" si="22"/>
        <v>53.3</v>
      </c>
      <c r="N122" s="196">
        <f t="shared" si="18"/>
        <v>37.799999999999997</v>
      </c>
      <c r="O122" s="196">
        <v>9.1999999999999993</v>
      </c>
      <c r="P122" s="196">
        <v>6.3</v>
      </c>
      <c r="T122" s="196">
        <f t="shared" si="19"/>
        <v>17.110499999999995</v>
      </c>
      <c r="U122" s="196">
        <f t="shared" si="20"/>
        <v>5.04</v>
      </c>
      <c r="AS122" s="197" t="e">
        <f>N122*G122-T122</f>
        <v>#VALUE!</v>
      </c>
      <c r="AT122" s="197" t="e">
        <f>O122*G122-U122</f>
        <v>#VALUE!</v>
      </c>
      <c r="BB122" s="196">
        <f t="shared" si="21"/>
        <v>44.099999999999994</v>
      </c>
    </row>
    <row r="123" spans="1:54" x14ac:dyDescent="0.2">
      <c r="A123" s="171">
        <v>451</v>
      </c>
      <c r="B123" s="171" t="s">
        <v>119</v>
      </c>
      <c r="C123" s="171" t="s">
        <v>113</v>
      </c>
      <c r="D123" s="10" t="s">
        <v>1406</v>
      </c>
      <c r="E123" s="193" t="s">
        <v>1344</v>
      </c>
      <c r="F123" s="200">
        <v>41.7</v>
      </c>
      <c r="G123" s="200" t="e">
        <f t="shared" si="17"/>
        <v>#VALUE!</v>
      </c>
      <c r="H123" s="211" t="s">
        <v>1400</v>
      </c>
      <c r="I123" s="10" t="s">
        <v>1464</v>
      </c>
      <c r="J123" s="10" t="s">
        <v>317</v>
      </c>
      <c r="K123" s="10" t="s">
        <v>1349</v>
      </c>
      <c r="L123" s="193"/>
      <c r="M123" s="196">
        <f t="shared" si="22"/>
        <v>53.3</v>
      </c>
      <c r="N123" s="196">
        <f t="shared" si="18"/>
        <v>37.799999999999997</v>
      </c>
      <c r="O123" s="196">
        <v>9.1999999999999993</v>
      </c>
      <c r="P123" s="196">
        <v>6.3</v>
      </c>
      <c r="T123" s="196">
        <f t="shared" si="19"/>
        <v>17.110499999999995</v>
      </c>
      <c r="U123" s="196">
        <f t="shared" si="20"/>
        <v>5.04</v>
      </c>
      <c r="AQ123" s="197" t="e">
        <f>N123*G123-T123</f>
        <v>#VALUE!</v>
      </c>
      <c r="BB123" s="196">
        <f t="shared" si="21"/>
        <v>44.099999999999994</v>
      </c>
    </row>
    <row r="124" spans="1:54" x14ac:dyDescent="0.2">
      <c r="A124" s="186">
        <v>452</v>
      </c>
      <c r="B124" s="171" t="s">
        <v>119</v>
      </c>
      <c r="C124" s="171" t="s">
        <v>113</v>
      </c>
      <c r="D124" s="10" t="s">
        <v>1407</v>
      </c>
      <c r="E124" s="193" t="s">
        <v>1344</v>
      </c>
      <c r="F124" s="200">
        <v>41.7</v>
      </c>
      <c r="G124" s="200">
        <f t="shared" si="17"/>
        <v>2.4002669999999999</v>
      </c>
      <c r="H124" s="203">
        <v>2400.2669999999998</v>
      </c>
      <c r="I124" s="10" t="s">
        <v>1464</v>
      </c>
      <c r="J124" s="10" t="s">
        <v>317</v>
      </c>
      <c r="K124" s="10" t="s">
        <v>1349</v>
      </c>
      <c r="L124" s="193"/>
      <c r="M124" s="196">
        <f t="shared" si="22"/>
        <v>53.3</v>
      </c>
      <c r="N124" s="196">
        <f t="shared" si="18"/>
        <v>37.799999999999997</v>
      </c>
      <c r="O124" s="196">
        <v>9.1999999999999993</v>
      </c>
      <c r="P124" s="196">
        <v>6.3</v>
      </c>
      <c r="T124" s="196">
        <f t="shared" si="19"/>
        <v>17.110499999999995</v>
      </c>
      <c r="U124" s="196">
        <f t="shared" si="20"/>
        <v>5.04</v>
      </c>
      <c r="AQ124" s="197">
        <f>N124*G124-T124</f>
        <v>73.619592600000004</v>
      </c>
      <c r="BB124" s="196">
        <f t="shared" si="21"/>
        <v>44.099999999999994</v>
      </c>
    </row>
    <row r="125" spans="1:54" x14ac:dyDescent="0.2">
      <c r="A125" s="186">
        <v>491</v>
      </c>
      <c r="B125" s="171" t="s">
        <v>119</v>
      </c>
      <c r="C125" s="171" t="s">
        <v>114</v>
      </c>
      <c r="D125" s="10" t="s">
        <v>1417</v>
      </c>
      <c r="E125" s="193" t="s">
        <v>1344</v>
      </c>
      <c r="F125" s="202">
        <v>41.7</v>
      </c>
      <c r="G125" s="200" t="e">
        <f t="shared" ref="G125:G156" si="25">H125/1000</f>
        <v>#VALUE!</v>
      </c>
      <c r="H125" s="211" t="s">
        <v>761</v>
      </c>
      <c r="I125" s="10" t="s">
        <v>1464</v>
      </c>
      <c r="J125" s="10" t="s">
        <v>317</v>
      </c>
      <c r="K125" s="10" t="s">
        <v>1349</v>
      </c>
      <c r="L125" s="193"/>
      <c r="M125" s="196">
        <f t="shared" si="22"/>
        <v>53.3</v>
      </c>
      <c r="N125" s="196">
        <f t="shared" si="18"/>
        <v>37.799999999999997</v>
      </c>
      <c r="O125" s="196">
        <v>9.1999999999999993</v>
      </c>
      <c r="P125" s="196">
        <v>6.3</v>
      </c>
      <c r="T125" s="196">
        <f t="shared" si="19"/>
        <v>17.110499999999995</v>
      </c>
      <c r="U125" s="196">
        <f t="shared" si="20"/>
        <v>5.04</v>
      </c>
      <c r="AP125" s="197" t="e">
        <f>N125*G125-T125</f>
        <v>#VALUE!</v>
      </c>
      <c r="AQ125" s="197" t="e">
        <f>O125*G125-U125</f>
        <v>#VALUE!</v>
      </c>
      <c r="BB125" s="196">
        <f t="shared" si="21"/>
        <v>44.099999999999994</v>
      </c>
    </row>
    <row r="126" spans="1:54" x14ac:dyDescent="0.2">
      <c r="A126" s="186">
        <v>492</v>
      </c>
      <c r="B126" s="171" t="s">
        <v>119</v>
      </c>
      <c r="C126" s="171" t="s">
        <v>114</v>
      </c>
      <c r="D126" s="10" t="s">
        <v>1418</v>
      </c>
      <c r="E126" s="193" t="s">
        <v>1412</v>
      </c>
      <c r="F126" s="202">
        <v>41.7</v>
      </c>
      <c r="G126" s="200">
        <f t="shared" si="25"/>
        <v>2.4002669999999999</v>
      </c>
      <c r="H126" s="203">
        <v>2400.2669999999998</v>
      </c>
      <c r="I126" s="10" t="s">
        <v>1464</v>
      </c>
      <c r="J126" s="10" t="s">
        <v>317</v>
      </c>
      <c r="K126" s="10" t="s">
        <v>1349</v>
      </c>
      <c r="L126" s="193"/>
      <c r="M126" s="196">
        <f t="shared" si="22"/>
        <v>53.3</v>
      </c>
      <c r="N126" s="196">
        <f t="shared" si="18"/>
        <v>37.799999999999997</v>
      </c>
      <c r="O126" s="196">
        <v>9.1999999999999993</v>
      </c>
      <c r="P126" s="196">
        <v>6.3</v>
      </c>
      <c r="T126" s="196">
        <f t="shared" si="19"/>
        <v>17.110499999999995</v>
      </c>
      <c r="U126" s="196">
        <f t="shared" si="20"/>
        <v>5.04</v>
      </c>
      <c r="AQ126" s="197">
        <f>N126*G126-T126</f>
        <v>73.619592600000004</v>
      </c>
      <c r="BB126" s="196">
        <f t="shared" si="21"/>
        <v>44.099999999999994</v>
      </c>
    </row>
    <row r="127" spans="1:54" x14ac:dyDescent="0.2">
      <c r="A127" s="171">
        <v>493</v>
      </c>
      <c r="B127" s="171" t="s">
        <v>119</v>
      </c>
      <c r="C127" s="171" t="s">
        <v>114</v>
      </c>
      <c r="D127" s="10" t="s">
        <v>1419</v>
      </c>
      <c r="E127" s="193" t="s">
        <v>1344</v>
      </c>
      <c r="F127" s="202">
        <v>41.7</v>
      </c>
      <c r="G127" s="200" t="e">
        <f t="shared" si="25"/>
        <v>#VALUE!</v>
      </c>
      <c r="H127" s="211" t="s">
        <v>761</v>
      </c>
      <c r="I127" s="10" t="s">
        <v>1464</v>
      </c>
      <c r="J127" s="10" t="s">
        <v>317</v>
      </c>
      <c r="K127" s="10" t="s">
        <v>1349</v>
      </c>
      <c r="L127" s="193"/>
      <c r="M127" s="196">
        <f t="shared" si="22"/>
        <v>53.3</v>
      </c>
      <c r="N127" s="196">
        <f t="shared" si="18"/>
        <v>37.799999999999997</v>
      </c>
      <c r="O127" s="196">
        <v>9.1999999999999993</v>
      </c>
      <c r="P127" s="196">
        <v>6.3</v>
      </c>
      <c r="T127" s="196">
        <f t="shared" si="19"/>
        <v>17.110499999999995</v>
      </c>
      <c r="U127" s="196">
        <f t="shared" si="20"/>
        <v>5.04</v>
      </c>
      <c r="AQ127" s="197" t="e">
        <f>N127*G127-T127</f>
        <v>#VALUE!</v>
      </c>
      <c r="BB127" s="196">
        <f t="shared" si="21"/>
        <v>44.099999999999994</v>
      </c>
    </row>
    <row r="128" spans="1:54" x14ac:dyDescent="0.2">
      <c r="A128" s="186">
        <v>525</v>
      </c>
      <c r="B128" s="171" t="s">
        <v>120</v>
      </c>
      <c r="C128" s="171" t="s">
        <v>112</v>
      </c>
      <c r="D128" s="10" t="s">
        <v>1423</v>
      </c>
      <c r="E128" s="193" t="s">
        <v>1344</v>
      </c>
      <c r="F128" s="202">
        <v>41.7</v>
      </c>
      <c r="G128" s="200" t="e">
        <f t="shared" si="25"/>
        <v>#VALUE!</v>
      </c>
      <c r="H128" s="211" t="s">
        <v>761</v>
      </c>
      <c r="I128" s="10" t="s">
        <v>1464</v>
      </c>
      <c r="J128" s="10" t="s">
        <v>317</v>
      </c>
      <c r="K128" s="10" t="s">
        <v>1349</v>
      </c>
      <c r="L128" s="193"/>
      <c r="M128" s="196">
        <f t="shared" si="22"/>
        <v>53.3</v>
      </c>
      <c r="N128" s="196">
        <f t="shared" si="18"/>
        <v>37.799999999999997</v>
      </c>
      <c r="O128" s="196">
        <v>9.1999999999999993</v>
      </c>
      <c r="P128" s="196">
        <v>6.3</v>
      </c>
      <c r="T128" s="196">
        <f t="shared" si="19"/>
        <v>17.110499999999995</v>
      </c>
      <c r="U128" s="196">
        <f t="shared" si="20"/>
        <v>5.04</v>
      </c>
      <c r="BB128" s="196">
        <f t="shared" si="21"/>
        <v>44.099999999999994</v>
      </c>
    </row>
    <row r="129" spans="1:54" x14ac:dyDescent="0.2">
      <c r="A129" s="186">
        <v>528</v>
      </c>
      <c r="B129" s="171" t="s">
        <v>120</v>
      </c>
      <c r="C129" s="171" t="s">
        <v>112</v>
      </c>
      <c r="D129" s="10" t="s">
        <v>1426</v>
      </c>
      <c r="E129" s="193" t="s">
        <v>1344</v>
      </c>
      <c r="F129" s="202">
        <v>41.7</v>
      </c>
      <c r="G129" s="200" t="e">
        <f t="shared" si="25"/>
        <v>#VALUE!</v>
      </c>
      <c r="H129" s="211" t="s">
        <v>761</v>
      </c>
      <c r="I129" s="10" t="s">
        <v>1464</v>
      </c>
      <c r="J129" s="10" t="s">
        <v>317</v>
      </c>
      <c r="K129" s="10" t="s">
        <v>1349</v>
      </c>
      <c r="L129" s="193"/>
      <c r="M129" s="196">
        <f t="shared" si="22"/>
        <v>53.3</v>
      </c>
      <c r="N129" s="196">
        <f t="shared" si="18"/>
        <v>37.799999999999997</v>
      </c>
      <c r="O129" s="196">
        <v>9.1999999999999993</v>
      </c>
      <c r="P129" s="196">
        <v>6.3</v>
      </c>
      <c r="T129" s="196">
        <f t="shared" si="19"/>
        <v>17.110499999999995</v>
      </c>
      <c r="U129" s="196">
        <f t="shared" si="20"/>
        <v>5.04</v>
      </c>
      <c r="AM129" s="197" t="e">
        <f>N129*G129-T129</f>
        <v>#VALUE!</v>
      </c>
      <c r="AN129" s="197" t="e">
        <f>O129*G129-U129</f>
        <v>#VALUE!</v>
      </c>
      <c r="AO129" s="197" t="e">
        <f>P129*G129-V129</f>
        <v>#VALUE!</v>
      </c>
      <c r="BB129" s="196">
        <f t="shared" si="21"/>
        <v>44.099999999999994</v>
      </c>
    </row>
    <row r="130" spans="1:54" x14ac:dyDescent="0.2">
      <c r="A130" s="186">
        <v>530</v>
      </c>
      <c r="B130" s="171" t="s">
        <v>120</v>
      </c>
      <c r="C130" s="171" t="s">
        <v>112</v>
      </c>
      <c r="D130" s="10" t="s">
        <v>1429</v>
      </c>
      <c r="E130" s="193" t="s">
        <v>1344</v>
      </c>
      <c r="F130" s="202">
        <v>41.7</v>
      </c>
      <c r="G130" s="200" t="e">
        <f t="shared" si="25"/>
        <v>#VALUE!</v>
      </c>
      <c r="H130" s="211" t="s">
        <v>761</v>
      </c>
      <c r="I130" s="10" t="s">
        <v>1464</v>
      </c>
      <c r="J130" s="10" t="s">
        <v>317</v>
      </c>
      <c r="K130" s="10" t="s">
        <v>1349</v>
      </c>
      <c r="L130" s="193"/>
      <c r="M130" s="196">
        <f t="shared" si="22"/>
        <v>53.3</v>
      </c>
      <c r="N130" s="196">
        <f t="shared" si="18"/>
        <v>37.799999999999997</v>
      </c>
      <c r="O130" s="196">
        <v>9.1999999999999993</v>
      </c>
      <c r="P130" s="196">
        <v>6.3</v>
      </c>
      <c r="T130" s="196">
        <f t="shared" si="19"/>
        <v>17.110499999999995</v>
      </c>
      <c r="U130" s="196">
        <f t="shared" si="20"/>
        <v>5.04</v>
      </c>
      <c r="BB130" s="196">
        <f t="shared" si="21"/>
        <v>44.099999999999994</v>
      </c>
    </row>
    <row r="131" spans="1:54" x14ac:dyDescent="0.2">
      <c r="A131" s="186">
        <v>531</v>
      </c>
      <c r="B131" s="171" t="s">
        <v>120</v>
      </c>
      <c r="C131" s="171" t="s">
        <v>112</v>
      </c>
      <c r="D131" s="10" t="s">
        <v>1430</v>
      </c>
      <c r="E131" s="193" t="s">
        <v>1344</v>
      </c>
      <c r="F131" s="202">
        <v>41.7</v>
      </c>
      <c r="G131" s="200" t="e">
        <f t="shared" si="25"/>
        <v>#VALUE!</v>
      </c>
      <c r="H131" s="211" t="s">
        <v>761</v>
      </c>
      <c r="I131" s="10" t="s">
        <v>1464</v>
      </c>
      <c r="J131" s="10" t="s">
        <v>317</v>
      </c>
      <c r="K131" s="10" t="s">
        <v>1349</v>
      </c>
      <c r="L131" s="193"/>
      <c r="M131" s="196">
        <f t="shared" si="22"/>
        <v>53.3</v>
      </c>
      <c r="N131" s="196">
        <f t="shared" si="18"/>
        <v>37.799999999999997</v>
      </c>
      <c r="O131" s="196">
        <v>9.1999999999999993</v>
      </c>
      <c r="P131" s="196">
        <v>6.3</v>
      </c>
      <c r="T131" s="196">
        <f t="shared" si="19"/>
        <v>17.110499999999995</v>
      </c>
      <c r="U131" s="196">
        <f t="shared" si="20"/>
        <v>5.04</v>
      </c>
      <c r="AP131" s="197" t="e">
        <f>N131*G131-T131</f>
        <v>#VALUE!</v>
      </c>
      <c r="BB131" s="196">
        <f t="shared" si="21"/>
        <v>44.099999999999994</v>
      </c>
    </row>
    <row r="132" spans="1:54" x14ac:dyDescent="0.2">
      <c r="A132" s="171">
        <v>532</v>
      </c>
      <c r="B132" s="171" t="s">
        <v>120</v>
      </c>
      <c r="C132" s="171" t="s">
        <v>112</v>
      </c>
      <c r="D132" s="10" t="s">
        <v>1431</v>
      </c>
      <c r="E132" s="193" t="s">
        <v>1344</v>
      </c>
      <c r="F132" s="202">
        <v>41.7</v>
      </c>
      <c r="G132" s="200" t="e">
        <f t="shared" si="25"/>
        <v>#VALUE!</v>
      </c>
      <c r="H132" s="211" t="s">
        <v>761</v>
      </c>
      <c r="I132" s="10" t="s">
        <v>1464</v>
      </c>
      <c r="J132" s="10" t="s">
        <v>317</v>
      </c>
      <c r="K132" s="10" t="s">
        <v>1349</v>
      </c>
      <c r="L132" s="193"/>
      <c r="M132" s="196">
        <f t="shared" si="22"/>
        <v>53.3</v>
      </c>
      <c r="N132" s="196">
        <f t="shared" si="18"/>
        <v>37.799999999999997</v>
      </c>
      <c r="O132" s="196">
        <v>9.1999999999999993</v>
      </c>
      <c r="P132" s="196">
        <v>6.3</v>
      </c>
      <c r="T132" s="196">
        <f t="shared" si="19"/>
        <v>17.110499999999995</v>
      </c>
      <c r="U132" s="196">
        <f t="shared" si="20"/>
        <v>5.04</v>
      </c>
      <c r="AM132" s="197" t="e">
        <f>N132*G132-T132</f>
        <v>#VALUE!</v>
      </c>
      <c r="AP132" s="197" t="e">
        <f>O132*G132-U132</f>
        <v>#VALUE!</v>
      </c>
      <c r="AT132" s="197" t="e">
        <f>P132*G132-V132</f>
        <v>#VALUE!</v>
      </c>
      <c r="BB132" s="196">
        <f t="shared" si="21"/>
        <v>44.099999999999994</v>
      </c>
    </row>
    <row r="133" spans="1:54" x14ac:dyDescent="0.2">
      <c r="A133" s="186">
        <v>564</v>
      </c>
      <c r="B133" s="171" t="s">
        <v>120</v>
      </c>
      <c r="C133" s="171" t="s">
        <v>113</v>
      </c>
      <c r="D133" s="10" t="s">
        <v>1434</v>
      </c>
      <c r="E133" s="193" t="s">
        <v>1412</v>
      </c>
      <c r="F133" s="202">
        <v>41.7</v>
      </c>
      <c r="G133" s="200">
        <f t="shared" si="25"/>
        <v>2.4002669999999999</v>
      </c>
      <c r="H133" s="203">
        <v>2400.2669999999998</v>
      </c>
      <c r="I133" s="10" t="s">
        <v>1464</v>
      </c>
      <c r="J133" s="10" t="s">
        <v>317</v>
      </c>
      <c r="K133" s="10" t="s">
        <v>1349</v>
      </c>
      <c r="L133" s="193"/>
      <c r="M133" s="196">
        <f t="shared" si="22"/>
        <v>53.3</v>
      </c>
      <c r="N133" s="196">
        <f t="shared" si="18"/>
        <v>37.799999999999997</v>
      </c>
      <c r="O133" s="196">
        <v>9.1999999999999993</v>
      </c>
      <c r="P133" s="196">
        <v>6.3</v>
      </c>
      <c r="T133" s="196">
        <f t="shared" si="19"/>
        <v>17.110499999999995</v>
      </c>
      <c r="U133" s="196">
        <f t="shared" si="20"/>
        <v>5.04</v>
      </c>
      <c r="AM133" s="197">
        <f>N133*G133-T133</f>
        <v>73.619592600000004</v>
      </c>
      <c r="AP133" s="197">
        <f>O133*G133-U133</f>
        <v>17.042456399999999</v>
      </c>
      <c r="BB133" s="196">
        <f t="shared" si="21"/>
        <v>44.099999999999994</v>
      </c>
    </row>
    <row r="134" spans="1:54" x14ac:dyDescent="0.2">
      <c r="A134" s="186">
        <v>567</v>
      </c>
      <c r="B134" s="171" t="s">
        <v>120</v>
      </c>
      <c r="C134" s="171" t="s">
        <v>113</v>
      </c>
      <c r="D134" s="10" t="s">
        <v>1437</v>
      </c>
      <c r="E134" s="193" t="s">
        <v>1412</v>
      </c>
      <c r="F134" s="202">
        <v>41.7</v>
      </c>
      <c r="G134" s="200">
        <f t="shared" si="25"/>
        <v>2.4002669999999999</v>
      </c>
      <c r="H134" s="203">
        <v>2400.2669999999998</v>
      </c>
      <c r="I134" s="10" t="s">
        <v>1464</v>
      </c>
      <c r="J134" s="10" t="s">
        <v>317</v>
      </c>
      <c r="K134" s="10" t="s">
        <v>1349</v>
      </c>
      <c r="L134" s="193"/>
      <c r="M134" s="196">
        <f t="shared" si="22"/>
        <v>53.3</v>
      </c>
      <c r="N134" s="196">
        <f t="shared" si="18"/>
        <v>37.799999999999997</v>
      </c>
      <c r="O134" s="196">
        <v>9.1999999999999993</v>
      </c>
      <c r="P134" s="196">
        <v>6.3</v>
      </c>
      <c r="T134" s="196">
        <f t="shared" si="19"/>
        <v>17.110499999999995</v>
      </c>
      <c r="U134" s="196">
        <f t="shared" si="20"/>
        <v>5.04</v>
      </c>
      <c r="AR134" s="197">
        <f>N134*G134-T134</f>
        <v>73.619592600000004</v>
      </c>
      <c r="BB134" s="196">
        <f t="shared" si="21"/>
        <v>44.099999999999994</v>
      </c>
    </row>
    <row r="135" spans="1:54" x14ac:dyDescent="0.2">
      <c r="A135" s="186">
        <v>569</v>
      </c>
      <c r="B135" s="171" t="s">
        <v>120</v>
      </c>
      <c r="C135" s="171" t="s">
        <v>113</v>
      </c>
      <c r="D135" s="10" t="s">
        <v>1439</v>
      </c>
      <c r="E135" s="193" t="s">
        <v>1412</v>
      </c>
      <c r="F135" s="204">
        <v>41.7</v>
      </c>
      <c r="G135" s="200">
        <f t="shared" si="25"/>
        <v>2.4002669999999999</v>
      </c>
      <c r="H135" s="203">
        <v>2400.2669999999998</v>
      </c>
      <c r="I135" s="10" t="s">
        <v>1464</v>
      </c>
      <c r="J135" s="10" t="s">
        <v>317</v>
      </c>
      <c r="K135" s="10" t="s">
        <v>1349</v>
      </c>
      <c r="L135" s="193"/>
      <c r="M135" s="196">
        <f t="shared" si="22"/>
        <v>53.3</v>
      </c>
      <c r="N135" s="196">
        <f t="shared" si="18"/>
        <v>37.799999999999997</v>
      </c>
      <c r="O135" s="196">
        <v>9.1999999999999993</v>
      </c>
      <c r="P135" s="196">
        <v>6.3</v>
      </c>
      <c r="T135" s="196">
        <f t="shared" si="19"/>
        <v>17.110499999999995</v>
      </c>
      <c r="U135" s="196">
        <f t="shared" si="20"/>
        <v>5.04</v>
      </c>
      <c r="AL135" s="197">
        <f>N135*H135/1000-T135</f>
        <v>73.619592600000004</v>
      </c>
      <c r="AM135" s="197">
        <f>O135*H135/1000-U135</f>
        <v>17.042456399999995</v>
      </c>
      <c r="AP135" s="197">
        <f>P135*H135/1000-V135</f>
        <v>15.121682099999997</v>
      </c>
      <c r="AS135" s="197">
        <f>Q135*H135/1000-W135</f>
        <v>0</v>
      </c>
      <c r="AT135" s="197">
        <f>R135*H135/1000-X135</f>
        <v>0</v>
      </c>
      <c r="BB135" s="196">
        <f t="shared" si="21"/>
        <v>44.099999999999994</v>
      </c>
    </row>
    <row r="136" spans="1:54" x14ac:dyDescent="0.2">
      <c r="A136" s="186">
        <v>570</v>
      </c>
      <c r="B136" s="171" t="s">
        <v>120</v>
      </c>
      <c r="C136" s="171" t="s">
        <v>113</v>
      </c>
      <c r="D136" s="10" t="s">
        <v>1440</v>
      </c>
      <c r="E136" s="193" t="s">
        <v>1412</v>
      </c>
      <c r="F136" s="202">
        <v>41.7</v>
      </c>
      <c r="G136" s="200">
        <f t="shared" si="25"/>
        <v>2.4002669999999999</v>
      </c>
      <c r="H136" s="203">
        <v>2400.2669999999998</v>
      </c>
      <c r="I136" s="10" t="s">
        <v>1464</v>
      </c>
      <c r="J136" s="10" t="s">
        <v>317</v>
      </c>
      <c r="K136" s="10" t="s">
        <v>1349</v>
      </c>
      <c r="L136" s="193"/>
      <c r="M136" s="196">
        <f t="shared" si="22"/>
        <v>53.3</v>
      </c>
      <c r="N136" s="196">
        <f t="shared" ref="N136:N142" si="26">M136-O136-P136</f>
        <v>37.799999999999997</v>
      </c>
      <c r="O136" s="196">
        <v>9.1999999999999993</v>
      </c>
      <c r="P136" s="196">
        <v>6.3</v>
      </c>
      <c r="T136" s="196">
        <f t="shared" ref="T136:T142" si="27">(3.26+0.19+3.26)*2.55</f>
        <v>17.110499999999995</v>
      </c>
      <c r="U136" s="196">
        <f t="shared" ref="U136:U142" si="28">1.05*2.4*2</f>
        <v>5.04</v>
      </c>
      <c r="BB136" s="196">
        <f t="shared" ref="BB136:BB142" si="29">N136+P136</f>
        <v>44.099999999999994</v>
      </c>
    </row>
    <row r="137" spans="1:54" x14ac:dyDescent="0.2">
      <c r="A137" s="186">
        <v>602</v>
      </c>
      <c r="B137" s="171" t="s">
        <v>120</v>
      </c>
      <c r="C137" s="171" t="s">
        <v>114</v>
      </c>
      <c r="D137" s="10" t="s">
        <v>1442</v>
      </c>
      <c r="E137" s="193" t="s">
        <v>1412</v>
      </c>
      <c r="F137" s="202">
        <v>41.7</v>
      </c>
      <c r="G137" s="200" t="e">
        <f t="shared" si="25"/>
        <v>#VALUE!</v>
      </c>
      <c r="H137" s="211" t="s">
        <v>761</v>
      </c>
      <c r="I137" s="10" t="s">
        <v>1464</v>
      </c>
      <c r="J137" s="10" t="s">
        <v>317</v>
      </c>
      <c r="K137" s="10" t="s">
        <v>1349</v>
      </c>
      <c r="L137" s="193"/>
      <c r="M137" s="196">
        <f t="shared" si="22"/>
        <v>53.3</v>
      </c>
      <c r="N137" s="196">
        <f t="shared" si="26"/>
        <v>37.799999999999997</v>
      </c>
      <c r="O137" s="196">
        <v>9.1999999999999993</v>
      </c>
      <c r="P137" s="196">
        <v>6.3</v>
      </c>
      <c r="T137" s="196">
        <f t="shared" si="27"/>
        <v>17.110499999999995</v>
      </c>
      <c r="U137" s="196">
        <f t="shared" si="28"/>
        <v>5.04</v>
      </c>
      <c r="AM137" s="197" t="e">
        <f>N137*G137-T137</f>
        <v>#VALUE!</v>
      </c>
      <c r="AP137" s="197" t="e">
        <f>O137*G137-U137</f>
        <v>#VALUE!</v>
      </c>
      <c r="BB137" s="196">
        <f t="shared" si="29"/>
        <v>44.099999999999994</v>
      </c>
    </row>
    <row r="138" spans="1:54" x14ac:dyDescent="0.2">
      <c r="A138" s="171">
        <v>604</v>
      </c>
      <c r="B138" s="171" t="s">
        <v>120</v>
      </c>
      <c r="C138" s="171" t="s">
        <v>114</v>
      </c>
      <c r="D138" s="10" t="s">
        <v>1444</v>
      </c>
      <c r="E138" s="193" t="s">
        <v>1412</v>
      </c>
      <c r="F138" s="202">
        <v>41.7</v>
      </c>
      <c r="G138" s="200" t="e">
        <f t="shared" si="25"/>
        <v>#VALUE!</v>
      </c>
      <c r="H138" s="211" t="s">
        <v>761</v>
      </c>
      <c r="I138" s="10" t="s">
        <v>1464</v>
      </c>
      <c r="J138" s="10" t="s">
        <v>317</v>
      </c>
      <c r="K138" s="10" t="s">
        <v>1349</v>
      </c>
      <c r="L138" s="193"/>
      <c r="M138" s="196">
        <f t="shared" si="22"/>
        <v>53.3</v>
      </c>
      <c r="N138" s="196">
        <f t="shared" si="26"/>
        <v>37.799999999999997</v>
      </c>
      <c r="O138" s="196">
        <v>9.1999999999999993</v>
      </c>
      <c r="P138" s="196">
        <v>6.3</v>
      </c>
      <c r="T138" s="196">
        <f t="shared" si="27"/>
        <v>17.110499999999995</v>
      </c>
      <c r="U138" s="196">
        <f t="shared" si="28"/>
        <v>5.04</v>
      </c>
      <c r="AH138" s="197" t="e">
        <f>N138*G138-T138</f>
        <v>#VALUE!</v>
      </c>
      <c r="AR138" s="197" t="e">
        <f>O138*G138-U138</f>
        <v>#VALUE!</v>
      </c>
      <c r="BB138" s="196">
        <f t="shared" si="29"/>
        <v>44.099999999999994</v>
      </c>
    </row>
    <row r="139" spans="1:54" x14ac:dyDescent="0.2">
      <c r="A139" s="171">
        <v>607</v>
      </c>
      <c r="B139" s="171" t="s">
        <v>120</v>
      </c>
      <c r="C139" s="171" t="s">
        <v>114</v>
      </c>
      <c r="D139" s="10" t="s">
        <v>1447</v>
      </c>
      <c r="E139" s="193" t="s">
        <v>1412</v>
      </c>
      <c r="F139" s="204">
        <v>41.7</v>
      </c>
      <c r="G139" s="200" t="e">
        <f t="shared" si="25"/>
        <v>#VALUE!</v>
      </c>
      <c r="H139" s="211" t="s">
        <v>761</v>
      </c>
      <c r="I139" s="10" t="s">
        <v>1464</v>
      </c>
      <c r="J139" s="10" t="s">
        <v>317</v>
      </c>
      <c r="K139" s="10" t="s">
        <v>1349</v>
      </c>
      <c r="L139" s="193"/>
      <c r="M139" s="196">
        <f t="shared" si="22"/>
        <v>53.3</v>
      </c>
      <c r="N139" s="196">
        <f t="shared" si="26"/>
        <v>37.799999999999997</v>
      </c>
      <c r="O139" s="196">
        <v>9.1999999999999993</v>
      </c>
      <c r="P139" s="196">
        <v>6.3</v>
      </c>
      <c r="T139" s="196">
        <f t="shared" si="27"/>
        <v>17.110499999999995</v>
      </c>
      <c r="U139" s="196">
        <f t="shared" si="28"/>
        <v>5.04</v>
      </c>
      <c r="AR139" s="197" t="e">
        <f>N139*G139-T139</f>
        <v>#VALUE!</v>
      </c>
      <c r="BB139" s="196">
        <f t="shared" si="29"/>
        <v>44.099999999999994</v>
      </c>
    </row>
    <row r="140" spans="1:54" x14ac:dyDescent="0.2">
      <c r="A140" s="186">
        <v>609</v>
      </c>
      <c r="B140" s="171" t="s">
        <v>120</v>
      </c>
      <c r="C140" s="171" t="s">
        <v>114</v>
      </c>
      <c r="D140" s="10" t="s">
        <v>1449</v>
      </c>
      <c r="E140" s="193" t="s">
        <v>1412</v>
      </c>
      <c r="F140" s="204">
        <v>41.7</v>
      </c>
      <c r="G140" s="200" t="e">
        <f t="shared" si="25"/>
        <v>#VALUE!</v>
      </c>
      <c r="H140" s="211" t="s">
        <v>761</v>
      </c>
      <c r="I140" s="10" t="s">
        <v>1464</v>
      </c>
      <c r="J140" s="10" t="s">
        <v>317</v>
      </c>
      <c r="K140" s="10" t="s">
        <v>1349</v>
      </c>
      <c r="L140" s="193"/>
      <c r="M140" s="196">
        <f t="shared" si="22"/>
        <v>53.3</v>
      </c>
      <c r="N140" s="196">
        <f t="shared" si="26"/>
        <v>37.799999999999997</v>
      </c>
      <c r="O140" s="196">
        <v>9.1999999999999993</v>
      </c>
      <c r="P140" s="196">
        <v>6.3</v>
      </c>
      <c r="T140" s="196">
        <f t="shared" si="27"/>
        <v>17.110499999999995</v>
      </c>
      <c r="U140" s="196">
        <f t="shared" si="28"/>
        <v>5.04</v>
      </c>
      <c r="AL140" s="197" t="e">
        <f>N140*G140-T140</f>
        <v>#VALUE!</v>
      </c>
      <c r="AW140" s="197" t="e">
        <f>O140*G140-U140</f>
        <v>#VALUE!</v>
      </c>
      <c r="BB140" s="196">
        <f t="shared" si="29"/>
        <v>44.099999999999994</v>
      </c>
    </row>
    <row r="141" spans="1:54" x14ac:dyDescent="0.2">
      <c r="A141" s="171">
        <v>610</v>
      </c>
      <c r="B141" s="171" t="s">
        <v>120</v>
      </c>
      <c r="C141" s="171" t="s">
        <v>114</v>
      </c>
      <c r="D141" s="10" t="s">
        <v>1450</v>
      </c>
      <c r="E141" s="193" t="s">
        <v>1412</v>
      </c>
      <c r="F141" s="202">
        <v>41.7</v>
      </c>
      <c r="G141" s="200" t="e">
        <f t="shared" si="25"/>
        <v>#VALUE!</v>
      </c>
      <c r="H141" s="211" t="s">
        <v>761</v>
      </c>
      <c r="I141" s="10" t="s">
        <v>1464</v>
      </c>
      <c r="J141" s="10" t="s">
        <v>317</v>
      </c>
      <c r="K141" s="10" t="s">
        <v>1349</v>
      </c>
      <c r="L141" s="193"/>
      <c r="M141" s="196">
        <f t="shared" si="22"/>
        <v>53.3</v>
      </c>
      <c r="N141" s="196">
        <f t="shared" si="26"/>
        <v>37.799999999999997</v>
      </c>
      <c r="O141" s="196">
        <v>9.1999999999999993</v>
      </c>
      <c r="P141" s="196">
        <v>6.3</v>
      </c>
      <c r="T141" s="196">
        <f t="shared" si="27"/>
        <v>17.110499999999995</v>
      </c>
      <c r="U141" s="196">
        <f t="shared" si="28"/>
        <v>5.04</v>
      </c>
      <c r="AL141" s="197" t="e">
        <f>N141*H141/1000</f>
        <v>#VALUE!</v>
      </c>
      <c r="BB141" s="196">
        <f t="shared" si="29"/>
        <v>44.099999999999994</v>
      </c>
    </row>
    <row r="142" spans="1:54" x14ac:dyDescent="0.2">
      <c r="A142" s="186">
        <v>374</v>
      </c>
      <c r="B142" s="171" t="s">
        <v>118</v>
      </c>
      <c r="C142" s="171" t="s">
        <v>114</v>
      </c>
      <c r="D142" s="10" t="s">
        <v>1382</v>
      </c>
      <c r="E142" s="193" t="s">
        <v>1373</v>
      </c>
      <c r="F142" s="194">
        <v>41.7</v>
      </c>
      <c r="G142" s="200">
        <f t="shared" si="25"/>
        <v>2.4002669999999999</v>
      </c>
      <c r="H142" s="208">
        <v>2400.2669999999998</v>
      </c>
      <c r="I142" s="10" t="s">
        <v>1464</v>
      </c>
      <c r="J142" s="10" t="s">
        <v>317</v>
      </c>
      <c r="K142" s="10" t="s">
        <v>1349</v>
      </c>
      <c r="L142" s="193"/>
      <c r="M142" s="196">
        <f t="shared" si="22"/>
        <v>53.3</v>
      </c>
      <c r="N142" s="196">
        <f t="shared" si="26"/>
        <v>37.799999999999997</v>
      </c>
      <c r="O142" s="196">
        <v>9.1999999999999993</v>
      </c>
      <c r="P142" s="196">
        <v>6.3</v>
      </c>
      <c r="T142" s="196">
        <f t="shared" si="27"/>
        <v>17.110499999999995</v>
      </c>
      <c r="U142" s="196">
        <f t="shared" si="28"/>
        <v>5.04</v>
      </c>
      <c r="AL142" s="197">
        <f>N142*G142-T142</f>
        <v>73.619592600000004</v>
      </c>
      <c r="AP142" s="197">
        <f>O142*G142-U142</f>
        <v>17.042456399999999</v>
      </c>
      <c r="BB142" s="196">
        <f t="shared" si="29"/>
        <v>44.099999999999994</v>
      </c>
    </row>
    <row r="143" spans="1:54" x14ac:dyDescent="0.2">
      <c r="A143" s="186">
        <v>291</v>
      </c>
      <c r="B143" s="171" t="s">
        <v>118</v>
      </c>
      <c r="C143" s="171" t="s">
        <v>112</v>
      </c>
      <c r="D143" s="10" t="s">
        <v>469</v>
      </c>
      <c r="E143" s="193" t="s">
        <v>771</v>
      </c>
      <c r="F143" s="202">
        <v>2.15</v>
      </c>
      <c r="G143" s="200">
        <f t="shared" si="25"/>
        <v>2.4</v>
      </c>
      <c r="H143" s="203">
        <v>2400</v>
      </c>
      <c r="I143" s="10" t="s">
        <v>766</v>
      </c>
      <c r="J143" s="10" t="s">
        <v>46</v>
      </c>
      <c r="K143" s="10" t="s">
        <v>763</v>
      </c>
      <c r="L143" s="193"/>
      <c r="M143" s="196">
        <f>6.45-1.5</f>
        <v>4.95</v>
      </c>
      <c r="N143" s="196">
        <f>1.155+0.6</f>
        <v>1.7549999999999999</v>
      </c>
      <c r="O143" s="196">
        <f>M143-N143</f>
        <v>3.1950000000000003</v>
      </c>
      <c r="AL143" s="197">
        <f>N143*G143-T143</f>
        <v>4.2119999999999997</v>
      </c>
      <c r="AP143" s="197">
        <f>O143*G143-U143</f>
        <v>7.6680000000000001</v>
      </c>
      <c r="BB143" s="196">
        <f t="shared" ref="BB143:BB152" si="30">N143</f>
        <v>1.7549999999999999</v>
      </c>
    </row>
    <row r="144" spans="1:54" x14ac:dyDescent="0.2">
      <c r="A144" s="186">
        <v>330</v>
      </c>
      <c r="B144" s="171" t="s">
        <v>118</v>
      </c>
      <c r="C144" s="171" t="s">
        <v>113</v>
      </c>
      <c r="D144" s="10" t="s">
        <v>470</v>
      </c>
      <c r="E144" s="193" t="s">
        <v>771</v>
      </c>
      <c r="F144" s="202">
        <v>2.25</v>
      </c>
      <c r="G144" s="200">
        <f t="shared" si="25"/>
        <v>2.4</v>
      </c>
      <c r="H144" s="203">
        <v>2400</v>
      </c>
      <c r="I144" s="10" t="s">
        <v>766</v>
      </c>
      <c r="J144" s="10" t="s">
        <v>46</v>
      </c>
      <c r="K144" s="10" t="s">
        <v>763</v>
      </c>
      <c r="L144" s="212"/>
      <c r="M144" s="196">
        <f>6.45-1.5</f>
        <v>4.95</v>
      </c>
      <c r="N144" s="196">
        <f>1.155+0.6</f>
        <v>1.7549999999999999</v>
      </c>
      <c r="O144" s="196">
        <f>M144-N144</f>
        <v>3.1950000000000003</v>
      </c>
      <c r="AH144" s="197">
        <f>N144*G144-T144</f>
        <v>4.2119999999999997</v>
      </c>
      <c r="AR144" s="197">
        <f>O144*G144-U144</f>
        <v>7.6680000000000001</v>
      </c>
      <c r="BB144" s="196">
        <f t="shared" si="30"/>
        <v>1.7549999999999999</v>
      </c>
    </row>
    <row r="145" spans="1:54" x14ac:dyDescent="0.2">
      <c r="A145" s="186">
        <v>519</v>
      </c>
      <c r="B145" s="171" t="s">
        <v>120</v>
      </c>
      <c r="C145" s="171" t="s">
        <v>112</v>
      </c>
      <c r="D145" s="10" t="s">
        <v>473</v>
      </c>
      <c r="E145" s="193" t="s">
        <v>771</v>
      </c>
      <c r="F145" s="202">
        <v>2.15</v>
      </c>
      <c r="G145" s="200">
        <f t="shared" si="25"/>
        <v>2.4</v>
      </c>
      <c r="H145" s="203">
        <v>2400</v>
      </c>
      <c r="I145" s="10" t="s">
        <v>766</v>
      </c>
      <c r="J145" s="10" t="s">
        <v>46</v>
      </c>
      <c r="K145" s="10" t="s">
        <v>756</v>
      </c>
      <c r="L145" s="212"/>
      <c r="M145" s="196">
        <f>6.45-1.5</f>
        <v>4.95</v>
      </c>
      <c r="N145" s="196">
        <f>1.155+0.6</f>
        <v>1.7549999999999999</v>
      </c>
      <c r="O145" s="196">
        <f>M145-N145</f>
        <v>3.1950000000000003</v>
      </c>
      <c r="AM145" s="197">
        <f>N145*G145-T145</f>
        <v>4.2119999999999997</v>
      </c>
      <c r="AP145" s="197">
        <f>O145*G145-U145</f>
        <v>7.6680000000000001</v>
      </c>
      <c r="AX145" s="197">
        <f>P145*G145-V145</f>
        <v>0</v>
      </c>
      <c r="BB145" s="196">
        <f t="shared" si="30"/>
        <v>1.7549999999999999</v>
      </c>
    </row>
    <row r="146" spans="1:54" x14ac:dyDescent="0.2">
      <c r="A146" s="186">
        <v>558</v>
      </c>
      <c r="B146" s="171" t="s">
        <v>120</v>
      </c>
      <c r="C146" s="171" t="s">
        <v>113</v>
      </c>
      <c r="D146" s="10" t="s">
        <v>474</v>
      </c>
      <c r="E146" s="193" t="s">
        <v>771</v>
      </c>
      <c r="F146" s="202">
        <v>2.25</v>
      </c>
      <c r="G146" s="200">
        <f t="shared" si="25"/>
        <v>2.4</v>
      </c>
      <c r="H146" s="203">
        <v>2400</v>
      </c>
      <c r="I146" s="10" t="s">
        <v>766</v>
      </c>
      <c r="J146" s="10" t="s">
        <v>46</v>
      </c>
      <c r="K146" s="10" t="s">
        <v>756</v>
      </c>
      <c r="L146" s="193"/>
      <c r="M146" s="196">
        <f>6.45-1.5</f>
        <v>4.95</v>
      </c>
      <c r="N146" s="196">
        <f>1.155+0.6</f>
        <v>1.7549999999999999</v>
      </c>
      <c r="O146" s="196">
        <f>M146-N146</f>
        <v>3.1950000000000003</v>
      </c>
      <c r="AH146" s="197">
        <f>N146*G146-T146</f>
        <v>4.2119999999999997</v>
      </c>
      <c r="AR146" s="197">
        <f>O146*G146-U146</f>
        <v>7.6680000000000001</v>
      </c>
      <c r="BB146" s="196">
        <f t="shared" si="30"/>
        <v>1.7549999999999999</v>
      </c>
    </row>
    <row r="147" spans="1:54" x14ac:dyDescent="0.2">
      <c r="A147" s="186">
        <v>597</v>
      </c>
      <c r="B147" s="171" t="s">
        <v>120</v>
      </c>
      <c r="C147" s="171" t="s">
        <v>114</v>
      </c>
      <c r="D147" s="10" t="s">
        <v>475</v>
      </c>
      <c r="E147" s="193" t="s">
        <v>771</v>
      </c>
      <c r="F147" s="202">
        <v>2.2000000000000002</v>
      </c>
      <c r="G147" s="200">
        <f t="shared" si="25"/>
        <v>2.4</v>
      </c>
      <c r="H147" s="203">
        <v>2400</v>
      </c>
      <c r="I147" s="10" t="s">
        <v>766</v>
      </c>
      <c r="J147" s="10" t="s">
        <v>46</v>
      </c>
      <c r="K147" s="10" t="s">
        <v>763</v>
      </c>
      <c r="L147" s="193"/>
      <c r="M147" s="196">
        <f>6.45-1.5</f>
        <v>4.95</v>
      </c>
      <c r="N147" s="196">
        <f>1.155+0.6</f>
        <v>1.7549999999999999</v>
      </c>
      <c r="O147" s="196">
        <f>M147-N147</f>
        <v>3.1950000000000003</v>
      </c>
      <c r="AH147" s="197">
        <f>N147*G147-T147</f>
        <v>4.2119999999999997</v>
      </c>
      <c r="AM147" s="197">
        <f>O147*G147-U147</f>
        <v>7.6680000000000001</v>
      </c>
      <c r="AR147" s="197">
        <f>P147*G147-V147</f>
        <v>0</v>
      </c>
      <c r="BB147" s="196">
        <f t="shared" si="30"/>
        <v>1.7549999999999999</v>
      </c>
    </row>
    <row r="148" spans="1:54" x14ac:dyDescent="0.2">
      <c r="A148" s="186">
        <v>290</v>
      </c>
      <c r="B148" s="171" t="s">
        <v>118</v>
      </c>
      <c r="C148" s="171" t="s">
        <v>112</v>
      </c>
      <c r="D148" s="10" t="s">
        <v>405</v>
      </c>
      <c r="E148" s="193" t="s">
        <v>769</v>
      </c>
      <c r="F148" s="202">
        <v>2.5</v>
      </c>
      <c r="G148" s="200">
        <f t="shared" si="25"/>
        <v>2.4</v>
      </c>
      <c r="H148" s="203">
        <v>2400</v>
      </c>
      <c r="I148" s="10" t="s">
        <v>766</v>
      </c>
      <c r="J148" s="10" t="s">
        <v>46</v>
      </c>
      <c r="K148" s="10" t="s">
        <v>756</v>
      </c>
      <c r="L148" s="193"/>
      <c r="M148" s="196">
        <f>O148+N148</f>
        <v>3.55</v>
      </c>
      <c r="N148" s="196">
        <v>2.2999999999999998</v>
      </c>
      <c r="O148" s="196">
        <f>0.35*2+0.55</f>
        <v>1.25</v>
      </c>
      <c r="AH148" s="197">
        <f>N148*G148-T148</f>
        <v>5.52</v>
      </c>
      <c r="AR148" s="197">
        <f>O148*G148-U148</f>
        <v>3</v>
      </c>
      <c r="BB148" s="196">
        <f t="shared" si="30"/>
        <v>2.2999999999999998</v>
      </c>
    </row>
    <row r="149" spans="1:54" x14ac:dyDescent="0.2">
      <c r="A149" s="186">
        <v>329</v>
      </c>
      <c r="B149" s="171" t="s">
        <v>118</v>
      </c>
      <c r="C149" s="171" t="s">
        <v>113</v>
      </c>
      <c r="D149" s="10" t="s">
        <v>406</v>
      </c>
      <c r="E149" s="193" t="s">
        <v>769</v>
      </c>
      <c r="F149" s="202">
        <v>2.5</v>
      </c>
      <c r="G149" s="200">
        <f t="shared" si="25"/>
        <v>2.4</v>
      </c>
      <c r="H149" s="203">
        <v>2400</v>
      </c>
      <c r="I149" s="10" t="s">
        <v>766</v>
      </c>
      <c r="J149" s="10" t="s">
        <v>46</v>
      </c>
      <c r="K149" s="10" t="s">
        <v>756</v>
      </c>
      <c r="L149" s="212"/>
      <c r="M149" s="196">
        <f>O149+N149</f>
        <v>3.55</v>
      </c>
      <c r="N149" s="196">
        <v>2.2999999999999998</v>
      </c>
      <c r="O149" s="196">
        <f>0.35*2+0.55</f>
        <v>1.25</v>
      </c>
      <c r="AH149" s="197">
        <f>N149*G149-T149</f>
        <v>5.52</v>
      </c>
      <c r="AR149" s="197">
        <f>O149*G149-U149</f>
        <v>3</v>
      </c>
      <c r="BB149" s="196">
        <f t="shared" si="30"/>
        <v>2.2999999999999998</v>
      </c>
    </row>
    <row r="150" spans="1:54" x14ac:dyDescent="0.2">
      <c r="A150" s="186">
        <v>518</v>
      </c>
      <c r="B150" s="171" t="s">
        <v>120</v>
      </c>
      <c r="C150" s="171" t="s">
        <v>112</v>
      </c>
      <c r="D150" s="10" t="s">
        <v>407</v>
      </c>
      <c r="E150" s="193" t="s">
        <v>769</v>
      </c>
      <c r="F150" s="202">
        <v>2.5</v>
      </c>
      <c r="G150" s="200">
        <f t="shared" si="25"/>
        <v>2.4</v>
      </c>
      <c r="H150" s="203">
        <v>2400</v>
      </c>
      <c r="I150" s="10" t="s">
        <v>766</v>
      </c>
      <c r="J150" s="10" t="s">
        <v>46</v>
      </c>
      <c r="K150" s="10" t="s">
        <v>763</v>
      </c>
      <c r="L150" s="212"/>
      <c r="M150" s="196">
        <f>O150+N150</f>
        <v>3.55</v>
      </c>
      <c r="N150" s="196">
        <v>2.2999999999999998</v>
      </c>
      <c r="O150" s="196">
        <f>0.35*2+0.55</f>
        <v>1.25</v>
      </c>
      <c r="AR150" s="197">
        <f>N150*G150-T150</f>
        <v>5.52</v>
      </c>
      <c r="BB150" s="196">
        <f t="shared" si="30"/>
        <v>2.2999999999999998</v>
      </c>
    </row>
    <row r="151" spans="1:54" x14ac:dyDescent="0.2">
      <c r="A151" s="186">
        <v>557</v>
      </c>
      <c r="B151" s="171" t="s">
        <v>120</v>
      </c>
      <c r="C151" s="171" t="s">
        <v>113</v>
      </c>
      <c r="D151" s="10" t="s">
        <v>408</v>
      </c>
      <c r="E151" s="193" t="s">
        <v>769</v>
      </c>
      <c r="F151" s="202">
        <v>2.5</v>
      </c>
      <c r="G151" s="200">
        <f t="shared" si="25"/>
        <v>2.4</v>
      </c>
      <c r="H151" s="203">
        <v>2400</v>
      </c>
      <c r="I151" s="10" t="s">
        <v>766</v>
      </c>
      <c r="J151" s="10" t="s">
        <v>46</v>
      </c>
      <c r="K151" s="10" t="s">
        <v>763</v>
      </c>
      <c r="L151" s="193"/>
      <c r="M151" s="196">
        <f>O151+N151</f>
        <v>3.55</v>
      </c>
      <c r="N151" s="196">
        <v>2.2999999999999998</v>
      </c>
      <c r="O151" s="196">
        <f>0.35*2+0.55</f>
        <v>1.25</v>
      </c>
      <c r="AH151" s="197">
        <f>N151*G151-T151</f>
        <v>5.52</v>
      </c>
      <c r="AR151" s="197">
        <f>O151*G151-U151</f>
        <v>3</v>
      </c>
      <c r="BB151" s="196">
        <f t="shared" si="30"/>
        <v>2.2999999999999998</v>
      </c>
    </row>
    <row r="152" spans="1:54" x14ac:dyDescent="0.2">
      <c r="A152" s="186">
        <v>596</v>
      </c>
      <c r="B152" s="171" t="s">
        <v>120</v>
      </c>
      <c r="C152" s="171" t="s">
        <v>114</v>
      </c>
      <c r="D152" s="10" t="s">
        <v>409</v>
      </c>
      <c r="E152" s="193" t="s">
        <v>769</v>
      </c>
      <c r="F152" s="202">
        <v>2.5</v>
      </c>
      <c r="G152" s="200">
        <f t="shared" si="25"/>
        <v>2.4</v>
      </c>
      <c r="H152" s="203">
        <v>2400</v>
      </c>
      <c r="I152" s="10" t="s">
        <v>766</v>
      </c>
      <c r="J152" s="10" t="s">
        <v>46</v>
      </c>
      <c r="K152" s="10" t="s">
        <v>756</v>
      </c>
      <c r="L152" s="193"/>
      <c r="M152" s="196">
        <f>O152+N152</f>
        <v>3.55</v>
      </c>
      <c r="N152" s="196">
        <v>2.2999999999999998</v>
      </c>
      <c r="O152" s="196">
        <f>0.35*2+0.55</f>
        <v>1.25</v>
      </c>
      <c r="AL152" s="197">
        <f>N152*G152-T152</f>
        <v>5.52</v>
      </c>
      <c r="AP152" s="197">
        <f>O152*G152-U152</f>
        <v>3</v>
      </c>
      <c r="BB152" s="196">
        <f t="shared" si="30"/>
        <v>2.2999999999999998</v>
      </c>
    </row>
    <row r="153" spans="1:54" x14ac:dyDescent="0.2">
      <c r="A153" s="186">
        <v>399</v>
      </c>
      <c r="B153" s="171" t="s">
        <v>119</v>
      </c>
      <c r="C153" s="171" t="s">
        <v>112</v>
      </c>
      <c r="D153" s="10" t="s">
        <v>471</v>
      </c>
      <c r="E153" s="193" t="s">
        <v>780</v>
      </c>
      <c r="F153" s="194">
        <v>5.65</v>
      </c>
      <c r="G153" s="200">
        <f t="shared" si="25"/>
        <v>2.4</v>
      </c>
      <c r="H153" s="208">
        <v>2400</v>
      </c>
      <c r="I153" s="10" t="s">
        <v>777</v>
      </c>
      <c r="J153" s="10" t="s">
        <v>101</v>
      </c>
      <c r="K153" s="10" t="s">
        <v>738</v>
      </c>
      <c r="L153" s="193"/>
      <c r="M153" s="196">
        <f>2.5+2.2*2</f>
        <v>6.9</v>
      </c>
      <c r="N153" s="196">
        <f>2.5+0.65</f>
        <v>3.15</v>
      </c>
      <c r="O153" s="196">
        <f>M153-N153</f>
        <v>3.7500000000000004</v>
      </c>
      <c r="U153" s="196">
        <f>1.4*2.4</f>
        <v>3.36</v>
      </c>
      <c r="AP153" s="197">
        <f>N153*G153-T153</f>
        <v>7.56</v>
      </c>
      <c r="BB153" s="196">
        <f>O153</f>
        <v>3.7500000000000004</v>
      </c>
    </row>
    <row r="154" spans="1:54" x14ac:dyDescent="0.2">
      <c r="A154" s="186">
        <v>438</v>
      </c>
      <c r="B154" s="171" t="s">
        <v>119</v>
      </c>
      <c r="C154" s="171" t="s">
        <v>113</v>
      </c>
      <c r="D154" s="10" t="s">
        <v>472</v>
      </c>
      <c r="E154" s="193" t="s">
        <v>771</v>
      </c>
      <c r="F154" s="200">
        <v>5.65</v>
      </c>
      <c r="G154" s="200">
        <f t="shared" si="25"/>
        <v>2.4</v>
      </c>
      <c r="H154" s="203">
        <v>2400</v>
      </c>
      <c r="I154" s="10" t="s">
        <v>766</v>
      </c>
      <c r="J154" s="10" t="s">
        <v>101</v>
      </c>
      <c r="K154" s="10" t="s">
        <v>756</v>
      </c>
      <c r="L154" s="193"/>
      <c r="M154" s="196">
        <f>2.5+2.2*2</f>
        <v>6.9</v>
      </c>
      <c r="N154" s="196">
        <f>2.5+0.65</f>
        <v>3.15</v>
      </c>
      <c r="O154" s="196">
        <f>M154-N154</f>
        <v>3.7500000000000004</v>
      </c>
      <c r="U154" s="196">
        <f>1.4*2.4</f>
        <v>3.36</v>
      </c>
      <c r="AP154" s="197">
        <f>N154*G154-T154</f>
        <v>7.56</v>
      </c>
      <c r="BB154" s="196">
        <f>O154</f>
        <v>3.7500000000000004</v>
      </c>
    </row>
    <row r="155" spans="1:54" x14ac:dyDescent="0.2">
      <c r="A155" s="171">
        <v>400</v>
      </c>
      <c r="B155" s="171" t="s">
        <v>119</v>
      </c>
      <c r="C155" s="171" t="s">
        <v>112</v>
      </c>
      <c r="D155" s="10" t="s">
        <v>781</v>
      </c>
      <c r="E155" s="193" t="s">
        <v>782</v>
      </c>
      <c r="F155" s="194">
        <v>8.6999999999999993</v>
      </c>
      <c r="G155" s="200">
        <f t="shared" si="25"/>
        <v>2.67</v>
      </c>
      <c r="H155" s="208">
        <v>2670</v>
      </c>
      <c r="I155" s="10" t="s">
        <v>777</v>
      </c>
      <c r="J155" s="10" t="s">
        <v>101</v>
      </c>
      <c r="K155" s="10" t="s">
        <v>778</v>
      </c>
      <c r="L155" s="193"/>
      <c r="M155" s="196">
        <f>3.935*2+2.23</f>
        <v>10.1</v>
      </c>
      <c r="N155" s="196">
        <f>3.935</f>
        <v>3.9350000000000001</v>
      </c>
      <c r="O155" s="196">
        <f>M155-N155</f>
        <v>6.1649999999999991</v>
      </c>
      <c r="U155" s="196">
        <f>2.2*2.52</f>
        <v>5.5440000000000005</v>
      </c>
      <c r="AL155" s="197">
        <f>N155*G155-T155</f>
        <v>10.506449999999999</v>
      </c>
      <c r="AP155" s="197">
        <f>O155*G155-U155</f>
        <v>10.916549999999997</v>
      </c>
      <c r="BB155" s="196">
        <f>O155</f>
        <v>6.1649999999999991</v>
      </c>
    </row>
    <row r="156" spans="1:54" x14ac:dyDescent="0.2">
      <c r="A156" s="171">
        <v>439</v>
      </c>
      <c r="B156" s="171" t="s">
        <v>119</v>
      </c>
      <c r="C156" s="171" t="s">
        <v>113</v>
      </c>
      <c r="D156" s="10" t="s">
        <v>786</v>
      </c>
      <c r="E156" s="193" t="s">
        <v>787</v>
      </c>
      <c r="F156" s="200">
        <v>8.65</v>
      </c>
      <c r="G156" s="200">
        <f t="shared" si="25"/>
        <v>2.67</v>
      </c>
      <c r="H156" s="203">
        <v>2670</v>
      </c>
      <c r="I156" s="10" t="s">
        <v>766</v>
      </c>
      <c r="J156" s="10" t="s">
        <v>101</v>
      </c>
      <c r="K156" s="10" t="s">
        <v>767</v>
      </c>
      <c r="L156" s="193"/>
      <c r="M156" s="196">
        <f>3.935*2+2.23</f>
        <v>10.1</v>
      </c>
      <c r="N156" s="196">
        <f>3.935</f>
        <v>3.9350000000000001</v>
      </c>
      <c r="O156" s="196">
        <f>M156-N156</f>
        <v>6.1649999999999991</v>
      </c>
      <c r="U156" s="196">
        <f>2.2*2.52</f>
        <v>5.5440000000000005</v>
      </c>
      <c r="AL156" s="197">
        <f>N156*G156-T156</f>
        <v>10.506449999999999</v>
      </c>
      <c r="AP156" s="197">
        <f>O156*G156-U156</f>
        <v>10.916549999999997</v>
      </c>
      <c r="BB156" s="196">
        <f>O156</f>
        <v>6.1649999999999991</v>
      </c>
    </row>
    <row r="157" spans="1:54" x14ac:dyDescent="0.2">
      <c r="A157" s="171">
        <v>328</v>
      </c>
      <c r="B157" s="171" t="s">
        <v>118</v>
      </c>
      <c r="C157" s="171" t="s">
        <v>113</v>
      </c>
      <c r="D157" s="10" t="s">
        <v>772</v>
      </c>
      <c r="E157" s="193" t="s">
        <v>765</v>
      </c>
      <c r="F157" s="202">
        <v>21.5</v>
      </c>
      <c r="G157" s="200">
        <f t="shared" ref="G157:G188" si="31">H157/1000</f>
        <v>2.67</v>
      </c>
      <c r="H157" s="203">
        <v>2670</v>
      </c>
      <c r="I157" s="10" t="s">
        <v>766</v>
      </c>
      <c r="J157" s="10" t="s">
        <v>98</v>
      </c>
      <c r="K157" s="10" t="s">
        <v>767</v>
      </c>
      <c r="L157" s="212"/>
      <c r="M157" s="196">
        <v>20.9</v>
      </c>
      <c r="N157" s="196">
        <f>M157-O157-P157-Q157</f>
        <v>5.4999999999999982</v>
      </c>
      <c r="O157" s="196">
        <v>6.8</v>
      </c>
      <c r="P157" s="196">
        <v>6.6</v>
      </c>
      <c r="Q157" s="196">
        <v>2</v>
      </c>
      <c r="T157" s="196">
        <f>3.45*2.55</f>
        <v>8.7974999999999994</v>
      </c>
      <c r="AM157" s="197">
        <f>N157*G157-T157</f>
        <v>5.8874999999999957</v>
      </c>
      <c r="AP157" s="197">
        <f>O157*G157-U157</f>
        <v>18.155999999999999</v>
      </c>
      <c r="BB157" s="196">
        <f>N157+P157+Q157</f>
        <v>14.099999999999998</v>
      </c>
    </row>
    <row r="158" spans="1:54" x14ac:dyDescent="0.2">
      <c r="A158" s="171">
        <v>556</v>
      </c>
      <c r="B158" s="171" t="s">
        <v>120</v>
      </c>
      <c r="C158" s="171" t="s">
        <v>113</v>
      </c>
      <c r="D158" s="10" t="s">
        <v>795</v>
      </c>
      <c r="E158" s="193" t="s">
        <v>765</v>
      </c>
      <c r="F158" s="202">
        <v>21.7</v>
      </c>
      <c r="G158" s="200">
        <f t="shared" si="31"/>
        <v>2.67</v>
      </c>
      <c r="H158" s="203">
        <v>2670</v>
      </c>
      <c r="I158" s="10" t="s">
        <v>766</v>
      </c>
      <c r="J158" s="10" t="s">
        <v>98</v>
      </c>
      <c r="K158" s="10" t="s">
        <v>767</v>
      </c>
      <c r="L158" s="193"/>
      <c r="M158" s="196">
        <v>20.9</v>
      </c>
      <c r="N158" s="196">
        <f>M158-O158-P158-Q158</f>
        <v>5.4999999999999982</v>
      </c>
      <c r="O158" s="196">
        <v>6.8</v>
      </c>
      <c r="P158" s="196">
        <v>6.6</v>
      </c>
      <c r="Q158" s="196">
        <v>2</v>
      </c>
      <c r="T158" s="196">
        <f>3.45*2.55</f>
        <v>8.7974999999999994</v>
      </c>
      <c r="AH158" s="197">
        <f>N158*G158-T158</f>
        <v>5.8874999999999957</v>
      </c>
      <c r="AR158" s="197">
        <f>O158*G158-U158</f>
        <v>18.155999999999999</v>
      </c>
      <c r="BB158" s="196">
        <f>N158+P158+Q158</f>
        <v>14.099999999999998</v>
      </c>
    </row>
    <row r="159" spans="1:54" x14ac:dyDescent="0.2">
      <c r="A159" s="171">
        <v>289</v>
      </c>
      <c r="B159" s="171" t="s">
        <v>118</v>
      </c>
      <c r="C159" s="171" t="s">
        <v>112</v>
      </c>
      <c r="D159" s="10" t="s">
        <v>764</v>
      </c>
      <c r="E159" s="193" t="s">
        <v>765</v>
      </c>
      <c r="F159" s="202">
        <v>20.8</v>
      </c>
      <c r="G159" s="200">
        <f t="shared" si="31"/>
        <v>2.67</v>
      </c>
      <c r="H159" s="203">
        <v>2670</v>
      </c>
      <c r="I159" s="10" t="s">
        <v>766</v>
      </c>
      <c r="J159" s="10" t="s">
        <v>91</v>
      </c>
      <c r="K159" s="10" t="s">
        <v>767</v>
      </c>
      <c r="L159" s="193"/>
      <c r="M159" s="196">
        <v>20.399999999999999</v>
      </c>
      <c r="N159" s="196">
        <f>3.5+0.42*2+3.3</f>
        <v>7.64</v>
      </c>
      <c r="O159" s="196">
        <v>5.8250000000000002</v>
      </c>
      <c r="P159" s="196">
        <f>M159-N159-O159</f>
        <v>6.9349999999999978</v>
      </c>
      <c r="T159" s="196">
        <f>3.3*2.55</f>
        <v>8.4149999999999991</v>
      </c>
      <c r="AH159" s="197">
        <f>N159*G159-T159</f>
        <v>11.983799999999999</v>
      </c>
      <c r="AR159" s="197">
        <f>O159*G159-U159</f>
        <v>15.55275</v>
      </c>
      <c r="BB159" s="196">
        <f>N159+P159</f>
        <v>14.574999999999998</v>
      </c>
    </row>
    <row r="160" spans="1:54" x14ac:dyDescent="0.2">
      <c r="A160" s="186">
        <v>366</v>
      </c>
      <c r="B160" s="171" t="s">
        <v>118</v>
      </c>
      <c r="C160" s="171" t="s">
        <v>114</v>
      </c>
      <c r="D160" s="10" t="s">
        <v>775</v>
      </c>
      <c r="E160" s="193" t="s">
        <v>776</v>
      </c>
      <c r="F160" s="194">
        <v>20.3</v>
      </c>
      <c r="G160" s="200">
        <f t="shared" si="31"/>
        <v>2.67</v>
      </c>
      <c r="H160" s="203">
        <v>2670</v>
      </c>
      <c r="I160" s="10" t="s">
        <v>777</v>
      </c>
      <c r="J160" s="10" t="s">
        <v>91</v>
      </c>
      <c r="K160" s="10" t="s">
        <v>778</v>
      </c>
      <c r="L160" s="193"/>
      <c r="M160" s="196">
        <v>20.399999999999999</v>
      </c>
      <c r="N160" s="196">
        <f>3.5+0.42*2+3.3</f>
        <v>7.64</v>
      </c>
      <c r="O160" s="196">
        <v>5.8250000000000002</v>
      </c>
      <c r="P160" s="196">
        <f>M160-N160-O160</f>
        <v>6.9349999999999978</v>
      </c>
      <c r="T160" s="196">
        <f>3.3*2.55</f>
        <v>8.4149999999999991</v>
      </c>
      <c r="AH160" s="197">
        <f>N160*G160-T160</f>
        <v>11.983799999999999</v>
      </c>
      <c r="AL160" s="197">
        <f>O160*G160-U160</f>
        <v>15.55275</v>
      </c>
      <c r="AP160" s="197">
        <f>P160*G160-V160</f>
        <v>18.516449999999995</v>
      </c>
      <c r="AR160" s="197">
        <f>Q160*G160-W160</f>
        <v>0</v>
      </c>
      <c r="BB160" s="196">
        <f>N160+P160</f>
        <v>14.574999999999998</v>
      </c>
    </row>
    <row r="161" spans="1:54" x14ac:dyDescent="0.2">
      <c r="A161" s="171">
        <v>517</v>
      </c>
      <c r="B161" s="171" t="s">
        <v>120</v>
      </c>
      <c r="C161" s="171" t="s">
        <v>112</v>
      </c>
      <c r="D161" s="10" t="s">
        <v>791</v>
      </c>
      <c r="E161" s="193" t="s">
        <v>765</v>
      </c>
      <c r="F161" s="202">
        <v>20.8</v>
      </c>
      <c r="G161" s="200">
        <f t="shared" si="31"/>
        <v>2.67</v>
      </c>
      <c r="H161" s="203">
        <v>2670</v>
      </c>
      <c r="I161" s="10" t="s">
        <v>766</v>
      </c>
      <c r="J161" s="10" t="s">
        <v>91</v>
      </c>
      <c r="K161" s="10" t="s">
        <v>767</v>
      </c>
      <c r="L161" s="212"/>
      <c r="M161" s="196">
        <v>20.399999999999999</v>
      </c>
      <c r="N161" s="196">
        <f>3.5+0.42*2+3.3</f>
        <v>7.64</v>
      </c>
      <c r="O161" s="196">
        <v>5.8250000000000002</v>
      </c>
      <c r="P161" s="196">
        <f>M161-N161-O161</f>
        <v>6.9349999999999978</v>
      </c>
      <c r="T161" s="196">
        <f>3.3*2.55</f>
        <v>8.4149999999999991</v>
      </c>
      <c r="AH161" s="197">
        <f>N161*G161-T161</f>
        <v>11.983799999999999</v>
      </c>
      <c r="AR161" s="197">
        <f>O161*G161-U161</f>
        <v>15.55275</v>
      </c>
      <c r="BB161" s="196">
        <f>N161+P161</f>
        <v>14.574999999999998</v>
      </c>
    </row>
    <row r="162" spans="1:54" x14ac:dyDescent="0.2">
      <c r="A162" s="171">
        <v>595</v>
      </c>
      <c r="B162" s="171" t="s">
        <v>120</v>
      </c>
      <c r="C162" s="171" t="s">
        <v>114</v>
      </c>
      <c r="D162" s="10" t="s">
        <v>798</v>
      </c>
      <c r="E162" s="193" t="s">
        <v>765</v>
      </c>
      <c r="F162" s="202">
        <v>20.3</v>
      </c>
      <c r="G162" s="200">
        <f t="shared" si="31"/>
        <v>2.67</v>
      </c>
      <c r="H162" s="203">
        <v>2670</v>
      </c>
      <c r="I162" s="10" t="s">
        <v>766</v>
      </c>
      <c r="J162" s="10" t="s">
        <v>91</v>
      </c>
      <c r="K162" s="10" t="s">
        <v>767</v>
      </c>
      <c r="L162" s="193"/>
      <c r="M162" s="196">
        <v>20.399999999999999</v>
      </c>
      <c r="N162" s="196">
        <f>3.5+0.42*2+3.3</f>
        <v>7.64</v>
      </c>
      <c r="O162" s="196">
        <v>5.8250000000000002</v>
      </c>
      <c r="P162" s="196">
        <f>M162-N162-O162</f>
        <v>6.9349999999999978</v>
      </c>
      <c r="T162" s="196">
        <f>3.3*2.55</f>
        <v>8.4149999999999991</v>
      </c>
      <c r="AM162" s="197">
        <f>N162*G162-T162</f>
        <v>11.983799999999999</v>
      </c>
      <c r="AP162" s="197">
        <f>O162*G162-U162</f>
        <v>15.55275</v>
      </c>
      <c r="BB162" s="196">
        <f>N162+P162</f>
        <v>14.574999999999998</v>
      </c>
    </row>
    <row r="163" spans="1:54" x14ac:dyDescent="0.2">
      <c r="A163" s="186">
        <v>320</v>
      </c>
      <c r="B163" s="171" t="s">
        <v>118</v>
      </c>
      <c r="C163" s="171" t="s">
        <v>113</v>
      </c>
      <c r="D163" s="10" t="s">
        <v>421</v>
      </c>
      <c r="E163" s="193" t="s">
        <v>804</v>
      </c>
      <c r="F163" s="204">
        <v>4.45</v>
      </c>
      <c r="G163" s="200">
        <f t="shared" si="31"/>
        <v>2.4</v>
      </c>
      <c r="H163" s="203">
        <v>2400</v>
      </c>
      <c r="I163" s="10" t="s">
        <v>654</v>
      </c>
      <c r="J163" s="10" t="s">
        <v>97</v>
      </c>
      <c r="K163" s="10" t="s">
        <v>756</v>
      </c>
      <c r="L163" s="212"/>
      <c r="M163" s="196">
        <v>9.4499999999999993</v>
      </c>
      <c r="N163" s="196">
        <f t="shared" ref="N163:N168" si="32">0.6+0.2</f>
        <v>0.8</v>
      </c>
      <c r="O163" s="196">
        <f t="shared" ref="O163:O168" si="33">1.15</f>
        <v>1.1499999999999999</v>
      </c>
      <c r="P163" s="196">
        <f t="shared" ref="P163:P168" si="34">M163-O163-N163</f>
        <v>7.4999999999999991</v>
      </c>
      <c r="V163" s="196">
        <f t="shared" ref="V163:V168" si="35">0.85*2.4</f>
        <v>2.04</v>
      </c>
      <c r="AP163" s="197">
        <f>N163*G163-T163</f>
        <v>1.92</v>
      </c>
      <c r="BB163" s="196">
        <f t="shared" ref="BB163:BB168" si="36">N163+O163</f>
        <v>1.95</v>
      </c>
    </row>
    <row r="164" spans="1:54" x14ac:dyDescent="0.2">
      <c r="A164" s="171">
        <v>430</v>
      </c>
      <c r="B164" s="171" t="s">
        <v>119</v>
      </c>
      <c r="C164" s="171" t="s">
        <v>113</v>
      </c>
      <c r="D164" s="10" t="s">
        <v>423</v>
      </c>
      <c r="E164" s="193" t="s">
        <v>804</v>
      </c>
      <c r="F164" s="200">
        <v>4.45</v>
      </c>
      <c r="G164" s="200">
        <f t="shared" si="31"/>
        <v>2.4</v>
      </c>
      <c r="H164" s="203">
        <v>2400</v>
      </c>
      <c r="I164" s="10" t="s">
        <v>654</v>
      </c>
      <c r="J164" s="10" t="s">
        <v>97</v>
      </c>
      <c r="K164" s="10" t="s">
        <v>756</v>
      </c>
      <c r="L164" s="193"/>
      <c r="M164" s="196">
        <v>9.4499999999999993</v>
      </c>
      <c r="N164" s="196">
        <f t="shared" si="32"/>
        <v>0.8</v>
      </c>
      <c r="O164" s="196">
        <f t="shared" si="33"/>
        <v>1.1499999999999999</v>
      </c>
      <c r="P164" s="196">
        <f t="shared" si="34"/>
        <v>7.4999999999999991</v>
      </c>
      <c r="V164" s="196">
        <f t="shared" si="35"/>
        <v>2.04</v>
      </c>
      <c r="AM164" s="197">
        <f>N164*G164-T164</f>
        <v>1.92</v>
      </c>
      <c r="AN164" s="197">
        <f>O164*G164-U164</f>
        <v>2.76</v>
      </c>
      <c r="AO164" s="197">
        <f>P164*G164-V164</f>
        <v>15.959999999999997</v>
      </c>
      <c r="BB164" s="196">
        <f t="shared" si="36"/>
        <v>1.95</v>
      </c>
    </row>
    <row r="165" spans="1:54" x14ac:dyDescent="0.2">
      <c r="A165" s="186">
        <v>548</v>
      </c>
      <c r="B165" s="171" t="s">
        <v>120</v>
      </c>
      <c r="C165" s="171" t="s">
        <v>113</v>
      </c>
      <c r="D165" s="10" t="s">
        <v>425</v>
      </c>
      <c r="E165" s="193" t="s">
        <v>804</v>
      </c>
      <c r="F165" s="202">
        <v>4.45</v>
      </c>
      <c r="G165" s="200">
        <f t="shared" si="31"/>
        <v>2.4</v>
      </c>
      <c r="H165" s="203">
        <v>2400</v>
      </c>
      <c r="I165" s="10" t="s">
        <v>654</v>
      </c>
      <c r="J165" s="10" t="s">
        <v>97</v>
      </c>
      <c r="K165" s="10" t="s">
        <v>756</v>
      </c>
      <c r="L165" s="193"/>
      <c r="M165" s="196">
        <v>9.4499999999999993</v>
      </c>
      <c r="N165" s="196">
        <f t="shared" si="32"/>
        <v>0.8</v>
      </c>
      <c r="O165" s="196">
        <f t="shared" si="33"/>
        <v>1.1499999999999999</v>
      </c>
      <c r="P165" s="196">
        <f t="shared" si="34"/>
        <v>7.4999999999999991</v>
      </c>
      <c r="V165" s="196">
        <f t="shared" si="35"/>
        <v>2.04</v>
      </c>
      <c r="AL165" s="197">
        <f>N165*G165-T165</f>
        <v>1.92</v>
      </c>
      <c r="AP165" s="197">
        <f>O165*G165-U165</f>
        <v>2.76</v>
      </c>
      <c r="BB165" s="196">
        <f t="shared" si="36"/>
        <v>1.95</v>
      </c>
    </row>
    <row r="166" spans="1:54" x14ac:dyDescent="0.2">
      <c r="A166" s="171">
        <v>358</v>
      </c>
      <c r="B166" s="171" t="s">
        <v>118</v>
      </c>
      <c r="C166" s="171" t="s">
        <v>114</v>
      </c>
      <c r="D166" s="10" t="s">
        <v>422</v>
      </c>
      <c r="E166" s="193" t="s">
        <v>814</v>
      </c>
      <c r="F166" s="194">
        <v>4.45</v>
      </c>
      <c r="G166" s="200">
        <f t="shared" si="31"/>
        <v>2.4</v>
      </c>
      <c r="H166" s="208">
        <v>2400</v>
      </c>
      <c r="I166" s="10" t="s">
        <v>812</v>
      </c>
      <c r="J166" s="10" t="s">
        <v>89</v>
      </c>
      <c r="K166" s="10" t="s">
        <v>752</v>
      </c>
      <c r="L166" s="193"/>
      <c r="M166" s="196">
        <v>9.4499999999999993</v>
      </c>
      <c r="N166" s="196">
        <f t="shared" si="32"/>
        <v>0.8</v>
      </c>
      <c r="O166" s="196">
        <f t="shared" si="33"/>
        <v>1.1499999999999999</v>
      </c>
      <c r="P166" s="196">
        <f t="shared" si="34"/>
        <v>7.4999999999999991</v>
      </c>
      <c r="V166" s="196">
        <f t="shared" si="35"/>
        <v>2.04</v>
      </c>
      <c r="AL166" s="197">
        <f>N166*G166-T166</f>
        <v>1.92</v>
      </c>
      <c r="AP166" s="197">
        <f>O166*G166-U166</f>
        <v>2.76</v>
      </c>
      <c r="BB166" s="196">
        <f t="shared" si="36"/>
        <v>1.95</v>
      </c>
    </row>
    <row r="167" spans="1:54" x14ac:dyDescent="0.2">
      <c r="A167" s="171">
        <v>469</v>
      </c>
      <c r="B167" s="171" t="s">
        <v>119</v>
      </c>
      <c r="C167" s="171" t="s">
        <v>114</v>
      </c>
      <c r="D167" s="10" t="s">
        <v>418</v>
      </c>
      <c r="E167" s="214" t="s">
        <v>104</v>
      </c>
      <c r="F167" s="204">
        <v>4.45</v>
      </c>
      <c r="G167" s="200">
        <f t="shared" si="31"/>
        <v>2.4</v>
      </c>
      <c r="H167" s="203">
        <v>2400</v>
      </c>
      <c r="I167" s="10" t="s">
        <v>654</v>
      </c>
      <c r="J167" s="10" t="s">
        <v>89</v>
      </c>
      <c r="K167" s="10" t="s">
        <v>756</v>
      </c>
      <c r="L167" s="193"/>
      <c r="M167" s="196">
        <v>9.4499999999999993</v>
      </c>
      <c r="N167" s="196">
        <f t="shared" si="32"/>
        <v>0.8</v>
      </c>
      <c r="O167" s="196">
        <f t="shared" si="33"/>
        <v>1.1499999999999999</v>
      </c>
      <c r="P167" s="196">
        <f t="shared" si="34"/>
        <v>7.4999999999999991</v>
      </c>
      <c r="V167" s="196">
        <f t="shared" si="35"/>
        <v>2.04</v>
      </c>
      <c r="AL167" s="197">
        <f>N167*H167/1000-T167</f>
        <v>1.92</v>
      </c>
      <c r="AM167" s="197">
        <f>O167*H167/1000-U167</f>
        <v>2.76</v>
      </c>
      <c r="AP167" s="197">
        <f>P167*H167/1000-V167</f>
        <v>15.959999999999997</v>
      </c>
      <c r="BB167" s="196">
        <f t="shared" si="36"/>
        <v>1.95</v>
      </c>
    </row>
    <row r="168" spans="1:54" x14ac:dyDescent="0.2">
      <c r="A168" s="186">
        <v>587</v>
      </c>
      <c r="B168" s="171" t="s">
        <v>120</v>
      </c>
      <c r="C168" s="171" t="s">
        <v>114</v>
      </c>
      <c r="D168" s="10" t="s">
        <v>419</v>
      </c>
      <c r="E168" s="214" t="s">
        <v>104</v>
      </c>
      <c r="F168" s="202">
        <v>4.45</v>
      </c>
      <c r="G168" s="200">
        <f t="shared" si="31"/>
        <v>2.4</v>
      </c>
      <c r="H168" s="203">
        <v>2400</v>
      </c>
      <c r="I168" s="10" t="s">
        <v>654</v>
      </c>
      <c r="J168" s="10" t="s">
        <v>89</v>
      </c>
      <c r="K168" s="10" t="s">
        <v>833</v>
      </c>
      <c r="L168" s="193"/>
      <c r="M168" s="196">
        <v>9.4499999999999993</v>
      </c>
      <c r="N168" s="196">
        <f t="shared" si="32"/>
        <v>0.8</v>
      </c>
      <c r="O168" s="196">
        <f t="shared" si="33"/>
        <v>1.1499999999999999</v>
      </c>
      <c r="P168" s="196">
        <f t="shared" si="34"/>
        <v>7.4999999999999991</v>
      </c>
      <c r="V168" s="196">
        <f t="shared" si="35"/>
        <v>2.04</v>
      </c>
      <c r="BB168" s="196">
        <f t="shared" si="36"/>
        <v>1.95</v>
      </c>
    </row>
    <row r="169" spans="1:54" x14ac:dyDescent="0.2">
      <c r="A169" s="186">
        <v>281</v>
      </c>
      <c r="B169" s="171" t="s">
        <v>118</v>
      </c>
      <c r="C169" s="171" t="s">
        <v>112</v>
      </c>
      <c r="D169" s="10" t="s">
        <v>420</v>
      </c>
      <c r="E169" s="193" t="s">
        <v>804</v>
      </c>
      <c r="F169" s="202">
        <v>4.45</v>
      </c>
      <c r="G169" s="200">
        <f t="shared" si="31"/>
        <v>2.4</v>
      </c>
      <c r="H169" s="203">
        <v>2400</v>
      </c>
      <c r="I169" s="10" t="s">
        <v>654</v>
      </c>
      <c r="J169" s="10" t="s">
        <v>70</v>
      </c>
      <c r="K169" s="10" t="s">
        <v>756</v>
      </c>
      <c r="L169" s="193"/>
      <c r="M169" s="196">
        <v>8.8000000000000007</v>
      </c>
      <c r="N169" s="196">
        <f>2.2</f>
        <v>2.2000000000000002</v>
      </c>
      <c r="O169" s="196">
        <f>M169-N169</f>
        <v>6.6000000000000005</v>
      </c>
      <c r="U169" s="196">
        <f>0.85*2.4</f>
        <v>2.04</v>
      </c>
      <c r="AH169" s="197">
        <f>N169*G169-T169</f>
        <v>5.28</v>
      </c>
      <c r="AR169" s="197">
        <f>O169*G169-U169</f>
        <v>13.8</v>
      </c>
      <c r="BB169" s="196">
        <f>N169</f>
        <v>2.2000000000000002</v>
      </c>
    </row>
    <row r="170" spans="1:54" x14ac:dyDescent="0.2">
      <c r="A170" s="186">
        <v>390</v>
      </c>
      <c r="B170" s="171" t="s">
        <v>119</v>
      </c>
      <c r="C170" s="171" t="s">
        <v>112</v>
      </c>
      <c r="D170" s="10" t="s">
        <v>417</v>
      </c>
      <c r="E170" s="215" t="s">
        <v>104</v>
      </c>
      <c r="F170" s="194">
        <v>4.45</v>
      </c>
      <c r="G170" s="200">
        <f t="shared" si="31"/>
        <v>2.4</v>
      </c>
      <c r="H170" s="208">
        <v>2400</v>
      </c>
      <c r="I170" s="10" t="s">
        <v>812</v>
      </c>
      <c r="J170" s="10" t="s">
        <v>70</v>
      </c>
      <c r="K170" s="10" t="s">
        <v>752</v>
      </c>
      <c r="L170" s="193"/>
      <c r="M170" s="196">
        <v>8.8000000000000007</v>
      </c>
      <c r="N170" s="196">
        <f>2.2</f>
        <v>2.2000000000000002</v>
      </c>
      <c r="O170" s="196">
        <f>M170-N170</f>
        <v>6.6000000000000005</v>
      </c>
      <c r="U170" s="196">
        <f>0.85*2.4</f>
        <v>2.04</v>
      </c>
      <c r="AD170" s="197">
        <f>N170*G170-T170</f>
        <v>5.28</v>
      </c>
      <c r="BB170" s="196">
        <f>N170</f>
        <v>2.2000000000000002</v>
      </c>
    </row>
    <row r="171" spans="1:54" x14ac:dyDescent="0.2">
      <c r="A171" s="186">
        <v>509</v>
      </c>
      <c r="B171" s="171" t="s">
        <v>120</v>
      </c>
      <c r="C171" s="171" t="s">
        <v>112</v>
      </c>
      <c r="D171" s="10" t="s">
        <v>424</v>
      </c>
      <c r="E171" s="193" t="s">
        <v>804</v>
      </c>
      <c r="F171" s="202">
        <v>4.45</v>
      </c>
      <c r="G171" s="200">
        <f t="shared" si="31"/>
        <v>2.4</v>
      </c>
      <c r="H171" s="203">
        <v>2400</v>
      </c>
      <c r="I171" s="10" t="s">
        <v>654</v>
      </c>
      <c r="J171" s="10" t="s">
        <v>70</v>
      </c>
      <c r="K171" s="10" t="s">
        <v>756</v>
      </c>
      <c r="L171" s="212"/>
      <c r="M171" s="196">
        <v>8.8000000000000007</v>
      </c>
      <c r="N171" s="196">
        <f>2.2</f>
        <v>2.2000000000000002</v>
      </c>
      <c r="O171" s="196">
        <f>M171-N171</f>
        <v>6.6000000000000005</v>
      </c>
      <c r="U171" s="196">
        <f>0.85*2.4</f>
        <v>2.04</v>
      </c>
      <c r="AQ171" s="197">
        <f>N171*G171-T171</f>
        <v>5.28</v>
      </c>
      <c r="BB171" s="196">
        <f>N171</f>
        <v>2.2000000000000002</v>
      </c>
    </row>
    <row r="172" spans="1:54" x14ac:dyDescent="0.2">
      <c r="A172" s="171">
        <v>280</v>
      </c>
      <c r="B172" s="171" t="s">
        <v>118</v>
      </c>
      <c r="C172" s="171" t="s">
        <v>112</v>
      </c>
      <c r="D172" s="10" t="s">
        <v>441</v>
      </c>
      <c r="E172" s="193" t="s">
        <v>802</v>
      </c>
      <c r="F172" s="202">
        <v>4.75</v>
      </c>
      <c r="G172" s="200">
        <f t="shared" si="31"/>
        <v>2.4</v>
      </c>
      <c r="H172" s="203">
        <v>2400</v>
      </c>
      <c r="I172" s="10" t="s">
        <v>654</v>
      </c>
      <c r="J172" s="10" t="s">
        <v>60</v>
      </c>
      <c r="K172" s="10" t="s">
        <v>756</v>
      </c>
      <c r="L172" s="193"/>
      <c r="M172" s="196">
        <f t="shared" ref="M172:M180" si="37">9.8</f>
        <v>9.8000000000000007</v>
      </c>
      <c r="N172" s="196">
        <f t="shared" ref="N172:N180" si="38">1.5</f>
        <v>1.5</v>
      </c>
      <c r="O172" s="196">
        <f t="shared" ref="O172:O180" si="39">M172-P172-N172</f>
        <v>5.25</v>
      </c>
      <c r="P172" s="196">
        <f t="shared" ref="P172:P180" si="40">0.6+2.45</f>
        <v>3.0500000000000003</v>
      </c>
      <c r="AH172" s="197">
        <f>N172*G172-T172</f>
        <v>3.5999999999999996</v>
      </c>
      <c r="AR172" s="197">
        <f>O172*G172-U172</f>
        <v>12.6</v>
      </c>
      <c r="BB172" s="196">
        <f t="shared" ref="BB172:BB180" si="41">O172</f>
        <v>5.25</v>
      </c>
    </row>
    <row r="173" spans="1:54" x14ac:dyDescent="0.2">
      <c r="A173" s="171">
        <v>319</v>
      </c>
      <c r="B173" s="171" t="s">
        <v>118</v>
      </c>
      <c r="C173" s="171" t="s">
        <v>113</v>
      </c>
      <c r="D173" s="10" t="s">
        <v>442</v>
      </c>
      <c r="E173" s="193" t="s">
        <v>802</v>
      </c>
      <c r="F173" s="202">
        <v>4.45</v>
      </c>
      <c r="G173" s="200">
        <f t="shared" si="31"/>
        <v>2.4</v>
      </c>
      <c r="H173" s="203">
        <v>2400</v>
      </c>
      <c r="I173" s="10" t="s">
        <v>654</v>
      </c>
      <c r="J173" s="10" t="s">
        <v>60</v>
      </c>
      <c r="K173" s="10" t="s">
        <v>756</v>
      </c>
      <c r="L173" s="193"/>
      <c r="M173" s="196">
        <f t="shared" si="37"/>
        <v>9.8000000000000007</v>
      </c>
      <c r="N173" s="196">
        <f t="shared" si="38"/>
        <v>1.5</v>
      </c>
      <c r="O173" s="196">
        <f t="shared" si="39"/>
        <v>5.25</v>
      </c>
      <c r="P173" s="196">
        <f t="shared" si="40"/>
        <v>3.0500000000000003</v>
      </c>
      <c r="AP173" s="197">
        <f>N173*G173-T173</f>
        <v>3.5999999999999996</v>
      </c>
      <c r="BB173" s="196">
        <f t="shared" si="41"/>
        <v>5.25</v>
      </c>
    </row>
    <row r="174" spans="1:54" x14ac:dyDescent="0.2">
      <c r="A174" s="186">
        <v>357</v>
      </c>
      <c r="B174" s="171" t="s">
        <v>118</v>
      </c>
      <c r="C174" s="171" t="s">
        <v>114</v>
      </c>
      <c r="D174" s="10" t="s">
        <v>443</v>
      </c>
      <c r="E174" s="193" t="s">
        <v>811</v>
      </c>
      <c r="F174" s="194">
        <v>4.6500000000000004</v>
      </c>
      <c r="G174" s="200">
        <f t="shared" si="31"/>
        <v>2.4</v>
      </c>
      <c r="H174" s="208">
        <v>2400</v>
      </c>
      <c r="I174" s="10" t="s">
        <v>812</v>
      </c>
      <c r="J174" s="10" t="s">
        <v>60</v>
      </c>
      <c r="K174" s="10" t="s">
        <v>756</v>
      </c>
      <c r="L174" s="193"/>
      <c r="M174" s="196">
        <f t="shared" si="37"/>
        <v>9.8000000000000007</v>
      </c>
      <c r="N174" s="196">
        <f t="shared" si="38"/>
        <v>1.5</v>
      </c>
      <c r="O174" s="196">
        <f t="shared" si="39"/>
        <v>5.25</v>
      </c>
      <c r="P174" s="196">
        <f t="shared" si="40"/>
        <v>3.0500000000000003</v>
      </c>
      <c r="AL174" s="197">
        <f>N174*G174-T174</f>
        <v>3.5999999999999996</v>
      </c>
      <c r="AP174" s="197">
        <f>O174*G174-U174</f>
        <v>12.6</v>
      </c>
      <c r="BB174" s="196">
        <f t="shared" si="41"/>
        <v>5.25</v>
      </c>
    </row>
    <row r="175" spans="1:54" x14ac:dyDescent="0.2">
      <c r="A175" s="186">
        <v>389</v>
      </c>
      <c r="B175" s="171" t="s">
        <v>119</v>
      </c>
      <c r="C175" s="171" t="s">
        <v>112</v>
      </c>
      <c r="D175" s="10" t="s">
        <v>444</v>
      </c>
      <c r="E175" s="193" t="s">
        <v>811</v>
      </c>
      <c r="F175" s="194">
        <v>4.75</v>
      </c>
      <c r="G175" s="200">
        <f t="shared" si="31"/>
        <v>2.4</v>
      </c>
      <c r="H175" s="208">
        <v>2400</v>
      </c>
      <c r="I175" s="10" t="s">
        <v>812</v>
      </c>
      <c r="J175" s="10" t="s">
        <v>60</v>
      </c>
      <c r="K175" s="10" t="s">
        <v>756</v>
      </c>
      <c r="L175" s="193"/>
      <c r="M175" s="196">
        <f t="shared" si="37"/>
        <v>9.8000000000000007</v>
      </c>
      <c r="N175" s="196">
        <f t="shared" si="38"/>
        <v>1.5</v>
      </c>
      <c r="O175" s="196">
        <f t="shared" si="39"/>
        <v>5.25</v>
      </c>
      <c r="P175" s="196">
        <f t="shared" si="40"/>
        <v>3.0500000000000003</v>
      </c>
      <c r="AM175" s="197">
        <f>N175*G175-T175</f>
        <v>3.5999999999999996</v>
      </c>
      <c r="AP175" s="197">
        <f>O175*G175-U175</f>
        <v>12.6</v>
      </c>
      <c r="BB175" s="196">
        <f t="shared" si="41"/>
        <v>5.25</v>
      </c>
    </row>
    <row r="176" spans="1:54" x14ac:dyDescent="0.2">
      <c r="A176" s="186">
        <v>429</v>
      </c>
      <c r="B176" s="171" t="s">
        <v>119</v>
      </c>
      <c r="C176" s="171" t="s">
        <v>113</v>
      </c>
      <c r="D176" s="10" t="s">
        <v>445</v>
      </c>
      <c r="E176" s="193" t="s">
        <v>802</v>
      </c>
      <c r="F176" s="200">
        <v>4.45</v>
      </c>
      <c r="G176" s="200">
        <f t="shared" si="31"/>
        <v>2.4</v>
      </c>
      <c r="H176" s="203">
        <v>2400</v>
      </c>
      <c r="I176" s="10" t="s">
        <v>654</v>
      </c>
      <c r="J176" s="10" t="s">
        <v>60</v>
      </c>
      <c r="K176" s="10" t="s">
        <v>756</v>
      </c>
      <c r="L176" s="193"/>
      <c r="M176" s="196">
        <f t="shared" si="37"/>
        <v>9.8000000000000007</v>
      </c>
      <c r="N176" s="196">
        <f t="shared" si="38"/>
        <v>1.5</v>
      </c>
      <c r="O176" s="196">
        <f t="shared" si="39"/>
        <v>5.25</v>
      </c>
      <c r="P176" s="196">
        <f t="shared" si="40"/>
        <v>3.0500000000000003</v>
      </c>
      <c r="BB176" s="196">
        <f t="shared" si="41"/>
        <v>5.25</v>
      </c>
    </row>
    <row r="177" spans="1:54" x14ac:dyDescent="0.2">
      <c r="A177" s="186">
        <v>468</v>
      </c>
      <c r="B177" s="171" t="s">
        <v>119</v>
      </c>
      <c r="C177" s="171" t="s">
        <v>114</v>
      </c>
      <c r="D177" s="10" t="s">
        <v>446</v>
      </c>
      <c r="E177" s="193" t="s">
        <v>802</v>
      </c>
      <c r="F177" s="202">
        <v>4.8499999999999996</v>
      </c>
      <c r="G177" s="200">
        <f t="shared" si="31"/>
        <v>2.4</v>
      </c>
      <c r="H177" s="203">
        <v>2400</v>
      </c>
      <c r="I177" s="10" t="s">
        <v>654</v>
      </c>
      <c r="J177" s="10" t="s">
        <v>60</v>
      </c>
      <c r="K177" s="10" t="s">
        <v>756</v>
      </c>
      <c r="L177" s="193"/>
      <c r="M177" s="196">
        <f t="shared" si="37"/>
        <v>9.8000000000000007</v>
      </c>
      <c r="N177" s="196">
        <f t="shared" si="38"/>
        <v>1.5</v>
      </c>
      <c r="O177" s="196">
        <f t="shared" si="39"/>
        <v>5.25</v>
      </c>
      <c r="P177" s="196">
        <f t="shared" si="40"/>
        <v>3.0500000000000003</v>
      </c>
      <c r="BB177" s="196">
        <f t="shared" si="41"/>
        <v>5.25</v>
      </c>
    </row>
    <row r="178" spans="1:54" x14ac:dyDescent="0.2">
      <c r="A178" s="171">
        <v>508</v>
      </c>
      <c r="B178" s="171" t="s">
        <v>120</v>
      </c>
      <c r="C178" s="171" t="s">
        <v>112</v>
      </c>
      <c r="D178" s="10" t="s">
        <v>447</v>
      </c>
      <c r="E178" s="193" t="s">
        <v>802</v>
      </c>
      <c r="F178" s="204">
        <v>4.75</v>
      </c>
      <c r="G178" s="200">
        <f t="shared" si="31"/>
        <v>2.4</v>
      </c>
      <c r="H178" s="203">
        <v>2400</v>
      </c>
      <c r="I178" s="10" t="s">
        <v>654</v>
      </c>
      <c r="J178" s="10" t="s">
        <v>60</v>
      </c>
      <c r="K178" s="10" t="s">
        <v>756</v>
      </c>
      <c r="L178" s="193"/>
      <c r="M178" s="196">
        <f t="shared" si="37"/>
        <v>9.8000000000000007</v>
      </c>
      <c r="N178" s="196">
        <f t="shared" si="38"/>
        <v>1.5</v>
      </c>
      <c r="O178" s="196">
        <f t="shared" si="39"/>
        <v>5.25</v>
      </c>
      <c r="P178" s="196">
        <f t="shared" si="40"/>
        <v>3.0500000000000003</v>
      </c>
      <c r="AM178" s="197">
        <f>N178*G178-T178</f>
        <v>3.5999999999999996</v>
      </c>
      <c r="AQ178" s="197">
        <f>O178*G178-U178</f>
        <v>12.6</v>
      </c>
      <c r="AT178" s="197">
        <f>P178*G178-V178</f>
        <v>7.32</v>
      </c>
      <c r="BB178" s="196">
        <f t="shared" si="41"/>
        <v>5.25</v>
      </c>
    </row>
    <row r="179" spans="1:54" x14ac:dyDescent="0.2">
      <c r="A179" s="171">
        <v>547</v>
      </c>
      <c r="B179" s="171" t="s">
        <v>120</v>
      </c>
      <c r="C179" s="171" t="s">
        <v>113</v>
      </c>
      <c r="D179" s="10" t="s">
        <v>448</v>
      </c>
      <c r="E179" s="193" t="s">
        <v>802</v>
      </c>
      <c r="F179" s="202">
        <v>4.45</v>
      </c>
      <c r="G179" s="200">
        <f t="shared" si="31"/>
        <v>2.4</v>
      </c>
      <c r="H179" s="203">
        <v>2400</v>
      </c>
      <c r="I179" s="10" t="s">
        <v>654</v>
      </c>
      <c r="J179" s="10" t="s">
        <v>60</v>
      </c>
      <c r="K179" s="10" t="s">
        <v>756</v>
      </c>
      <c r="L179" s="193"/>
      <c r="M179" s="196">
        <f t="shared" si="37"/>
        <v>9.8000000000000007</v>
      </c>
      <c r="N179" s="196">
        <f t="shared" si="38"/>
        <v>1.5</v>
      </c>
      <c r="O179" s="196">
        <f t="shared" si="39"/>
        <v>5.25</v>
      </c>
      <c r="P179" s="196">
        <f t="shared" si="40"/>
        <v>3.0500000000000003</v>
      </c>
      <c r="AL179" s="197">
        <f>N179*G179-T179</f>
        <v>3.5999999999999996</v>
      </c>
      <c r="AP179" s="197">
        <f>O179*G179-U179</f>
        <v>12.6</v>
      </c>
      <c r="BB179" s="196">
        <f t="shared" si="41"/>
        <v>5.25</v>
      </c>
    </row>
    <row r="180" spans="1:54" x14ac:dyDescent="0.2">
      <c r="A180" s="171">
        <v>586</v>
      </c>
      <c r="B180" s="171" t="s">
        <v>120</v>
      </c>
      <c r="C180" s="171" t="s">
        <v>114</v>
      </c>
      <c r="D180" s="10" t="s">
        <v>449</v>
      </c>
      <c r="E180" s="193" t="s">
        <v>802</v>
      </c>
      <c r="F180" s="202">
        <v>4.8499999999999996</v>
      </c>
      <c r="G180" s="200">
        <f t="shared" si="31"/>
        <v>2.4</v>
      </c>
      <c r="H180" s="203">
        <v>2400</v>
      </c>
      <c r="I180" s="10" t="s">
        <v>654</v>
      </c>
      <c r="J180" s="10" t="s">
        <v>60</v>
      </c>
      <c r="K180" s="10" t="s">
        <v>756</v>
      </c>
      <c r="L180" s="193"/>
      <c r="M180" s="196">
        <f t="shared" si="37"/>
        <v>9.8000000000000007</v>
      </c>
      <c r="N180" s="196">
        <f t="shared" si="38"/>
        <v>1.5</v>
      </c>
      <c r="O180" s="196">
        <f t="shared" si="39"/>
        <v>5.25</v>
      </c>
      <c r="P180" s="196">
        <f t="shared" si="40"/>
        <v>3.0500000000000003</v>
      </c>
      <c r="BB180" s="196">
        <f t="shared" si="41"/>
        <v>5.25</v>
      </c>
    </row>
    <row r="181" spans="1:54" x14ac:dyDescent="0.2">
      <c r="A181" s="186">
        <v>282</v>
      </c>
      <c r="B181" s="171" t="s">
        <v>118</v>
      </c>
      <c r="C181" s="171" t="s">
        <v>112</v>
      </c>
      <c r="D181" s="10" t="s">
        <v>374</v>
      </c>
      <c r="E181" s="193" t="s">
        <v>806</v>
      </c>
      <c r="F181" s="202">
        <v>6.8</v>
      </c>
      <c r="G181" s="200">
        <f t="shared" si="31"/>
        <v>2.4</v>
      </c>
      <c r="H181" s="203">
        <v>2400</v>
      </c>
      <c r="I181" s="10" t="s">
        <v>654</v>
      </c>
      <c r="J181" s="10" t="s">
        <v>34</v>
      </c>
      <c r="K181" s="10" t="s">
        <v>756</v>
      </c>
      <c r="L181" s="193"/>
      <c r="M181" s="196">
        <v>14</v>
      </c>
      <c r="N181" s="196">
        <f>M181</f>
        <v>14</v>
      </c>
      <c r="AL181" s="197">
        <f>N181*G181-T181</f>
        <v>33.6</v>
      </c>
      <c r="AP181" s="197">
        <f>O181*G181-U181</f>
        <v>0</v>
      </c>
      <c r="BB181" s="196">
        <f t="shared" ref="BB181:BB190" si="42">M181</f>
        <v>14</v>
      </c>
    </row>
    <row r="182" spans="1:54" x14ac:dyDescent="0.2">
      <c r="A182" s="171">
        <v>391</v>
      </c>
      <c r="B182" s="171" t="s">
        <v>119</v>
      </c>
      <c r="C182" s="171" t="s">
        <v>112</v>
      </c>
      <c r="D182" s="10" t="s">
        <v>376</v>
      </c>
      <c r="E182" s="193" t="s">
        <v>818</v>
      </c>
      <c r="F182" s="194">
        <v>6.8</v>
      </c>
      <c r="G182" s="200">
        <f t="shared" si="31"/>
        <v>2.4</v>
      </c>
      <c r="H182" s="208">
        <v>2400</v>
      </c>
      <c r="I182" s="10" t="s">
        <v>812</v>
      </c>
      <c r="J182" s="10" t="s">
        <v>34</v>
      </c>
      <c r="K182" s="10" t="s">
        <v>752</v>
      </c>
      <c r="L182" s="193"/>
      <c r="M182" s="196">
        <v>14</v>
      </c>
      <c r="N182" s="196">
        <f>M182</f>
        <v>14</v>
      </c>
      <c r="BB182" s="196">
        <f t="shared" si="42"/>
        <v>14</v>
      </c>
    </row>
    <row r="183" spans="1:54" x14ac:dyDescent="0.2">
      <c r="A183" s="186">
        <v>510</v>
      </c>
      <c r="B183" s="171" t="s">
        <v>120</v>
      </c>
      <c r="C183" s="171" t="s">
        <v>112</v>
      </c>
      <c r="D183" s="10" t="s">
        <v>379</v>
      </c>
      <c r="E183" s="193" t="s">
        <v>806</v>
      </c>
      <c r="F183" s="202">
        <v>6.8</v>
      </c>
      <c r="G183" s="200">
        <f t="shared" si="31"/>
        <v>2.4</v>
      </c>
      <c r="H183" s="203">
        <v>2400</v>
      </c>
      <c r="I183" s="10" t="s">
        <v>654</v>
      </c>
      <c r="J183" s="10" t="s">
        <v>34</v>
      </c>
      <c r="K183" s="10" t="s">
        <v>756</v>
      </c>
      <c r="L183" s="212"/>
      <c r="M183" s="196">
        <v>14</v>
      </c>
      <c r="N183" s="196">
        <f>M183</f>
        <v>14</v>
      </c>
      <c r="AQ183" s="197">
        <f>N183*G183-T183</f>
        <v>33.6</v>
      </c>
      <c r="BB183" s="196">
        <f t="shared" si="42"/>
        <v>14</v>
      </c>
    </row>
    <row r="184" spans="1:54" x14ac:dyDescent="0.2">
      <c r="A184" s="186">
        <v>470</v>
      </c>
      <c r="B184" s="171" t="s">
        <v>119</v>
      </c>
      <c r="C184" s="171" t="s">
        <v>114</v>
      </c>
      <c r="D184" s="10" t="s">
        <v>378</v>
      </c>
      <c r="E184" s="193" t="s">
        <v>806</v>
      </c>
      <c r="F184" s="202">
        <v>7.65</v>
      </c>
      <c r="G184" s="200">
        <f t="shared" si="31"/>
        <v>2.4</v>
      </c>
      <c r="H184" s="203">
        <v>2400</v>
      </c>
      <c r="I184" s="10" t="s">
        <v>654</v>
      </c>
      <c r="J184" s="10" t="s">
        <v>36</v>
      </c>
      <c r="K184" s="10" t="s">
        <v>756</v>
      </c>
      <c r="L184" s="193"/>
      <c r="M184" s="196">
        <f>14.3</f>
        <v>14.3</v>
      </c>
      <c r="N184" s="196">
        <f>0.2+0.6</f>
        <v>0.8</v>
      </c>
      <c r="O184" s="196">
        <f>M184-N184</f>
        <v>13.5</v>
      </c>
      <c r="AM184" s="197">
        <f>N184*G184-T184</f>
        <v>1.92</v>
      </c>
      <c r="AP184" s="197">
        <f>O184*G184-U184</f>
        <v>32.4</v>
      </c>
      <c r="AT184" s="197">
        <f>P184*G184-V184</f>
        <v>0</v>
      </c>
      <c r="BB184" s="196">
        <f t="shared" si="42"/>
        <v>14.3</v>
      </c>
    </row>
    <row r="185" spans="1:54" x14ac:dyDescent="0.2">
      <c r="A185" s="186">
        <v>588</v>
      </c>
      <c r="B185" s="171" t="s">
        <v>120</v>
      </c>
      <c r="C185" s="171" t="s">
        <v>114</v>
      </c>
      <c r="D185" s="10" t="s">
        <v>381</v>
      </c>
      <c r="E185" s="193" t="s">
        <v>806</v>
      </c>
      <c r="F185" s="202">
        <v>7.65</v>
      </c>
      <c r="G185" s="200">
        <f t="shared" si="31"/>
        <v>2.4</v>
      </c>
      <c r="H185" s="203">
        <v>2400</v>
      </c>
      <c r="I185" s="10" t="s">
        <v>654</v>
      </c>
      <c r="J185" s="10" t="s">
        <v>36</v>
      </c>
      <c r="K185" s="10" t="s">
        <v>756</v>
      </c>
      <c r="L185" s="193"/>
      <c r="M185" s="196">
        <f>14.3</f>
        <v>14.3</v>
      </c>
      <c r="N185" s="196">
        <f>0.2+0.6</f>
        <v>0.8</v>
      </c>
      <c r="O185" s="196">
        <f>M185-N185</f>
        <v>13.5</v>
      </c>
      <c r="AL185" s="197">
        <f>N185*G185-T185</f>
        <v>1.92</v>
      </c>
      <c r="AP185" s="197">
        <f>O185*G185-U185</f>
        <v>32.4</v>
      </c>
      <c r="BB185" s="196">
        <f t="shared" si="42"/>
        <v>14.3</v>
      </c>
    </row>
    <row r="186" spans="1:54" x14ac:dyDescent="0.2">
      <c r="A186" s="186">
        <v>359</v>
      </c>
      <c r="B186" s="171" t="s">
        <v>118</v>
      </c>
      <c r="C186" s="171" t="s">
        <v>114</v>
      </c>
      <c r="D186" s="10" t="s">
        <v>228</v>
      </c>
      <c r="E186" s="193" t="s">
        <v>818</v>
      </c>
      <c r="F186" s="194">
        <v>7.65</v>
      </c>
      <c r="G186" s="200">
        <f t="shared" si="31"/>
        <v>2.4</v>
      </c>
      <c r="H186" s="208">
        <v>2400</v>
      </c>
      <c r="I186" s="10" t="s">
        <v>1465</v>
      </c>
      <c r="J186" s="10" t="s">
        <v>36</v>
      </c>
      <c r="K186" s="10" t="s">
        <v>738</v>
      </c>
      <c r="L186" s="193"/>
      <c r="M186" s="196">
        <f>14.3</f>
        <v>14.3</v>
      </c>
      <c r="N186" s="196">
        <f>0.2+0.6</f>
        <v>0.8</v>
      </c>
      <c r="O186" s="196">
        <f>M186-N186</f>
        <v>13.5</v>
      </c>
      <c r="BB186" s="196">
        <f t="shared" si="42"/>
        <v>14.3</v>
      </c>
    </row>
    <row r="187" spans="1:54" x14ac:dyDescent="0.2">
      <c r="A187" s="186">
        <v>321</v>
      </c>
      <c r="B187" s="171" t="s">
        <v>118</v>
      </c>
      <c r="C187" s="171" t="s">
        <v>113</v>
      </c>
      <c r="D187" s="10" t="s">
        <v>375</v>
      </c>
      <c r="E187" s="193" t="s">
        <v>806</v>
      </c>
      <c r="F187" s="202">
        <v>8.15</v>
      </c>
      <c r="G187" s="200">
        <f t="shared" si="31"/>
        <v>2.4</v>
      </c>
      <c r="H187" s="203">
        <v>2400</v>
      </c>
      <c r="I187" s="10" t="s">
        <v>654</v>
      </c>
      <c r="J187" s="10" t="s">
        <v>34</v>
      </c>
      <c r="K187" s="10" t="s">
        <v>756</v>
      </c>
      <c r="L187" s="212"/>
      <c r="M187" s="196">
        <v>14.8</v>
      </c>
      <c r="N187" s="196">
        <f>M187</f>
        <v>14.8</v>
      </c>
      <c r="AL187" s="197">
        <f>N187*G187-T187</f>
        <v>35.520000000000003</v>
      </c>
      <c r="AP187" s="197">
        <f>O187*G187-U187</f>
        <v>0</v>
      </c>
      <c r="BB187" s="196">
        <f t="shared" si="42"/>
        <v>14.8</v>
      </c>
    </row>
    <row r="188" spans="1:54" x14ac:dyDescent="0.2">
      <c r="A188" s="186">
        <v>431</v>
      </c>
      <c r="B188" s="171" t="s">
        <v>119</v>
      </c>
      <c r="C188" s="171" t="s">
        <v>113</v>
      </c>
      <c r="D188" s="10" t="s">
        <v>377</v>
      </c>
      <c r="E188" s="193" t="s">
        <v>806</v>
      </c>
      <c r="F188" s="200">
        <v>8.15</v>
      </c>
      <c r="G188" s="200">
        <f t="shared" si="31"/>
        <v>2.4</v>
      </c>
      <c r="H188" s="203">
        <v>2400</v>
      </c>
      <c r="I188" s="10" t="s">
        <v>654</v>
      </c>
      <c r="J188" s="10" t="s">
        <v>34</v>
      </c>
      <c r="K188" s="10" t="s">
        <v>756</v>
      </c>
      <c r="L188" s="193"/>
      <c r="M188" s="196">
        <v>14.8</v>
      </c>
      <c r="N188" s="196">
        <f>M188</f>
        <v>14.8</v>
      </c>
      <c r="BB188" s="196">
        <f t="shared" si="42"/>
        <v>14.8</v>
      </c>
    </row>
    <row r="189" spans="1:54" x14ac:dyDescent="0.2">
      <c r="A189" s="186">
        <v>549</v>
      </c>
      <c r="B189" s="171" t="s">
        <v>120</v>
      </c>
      <c r="C189" s="171" t="s">
        <v>113</v>
      </c>
      <c r="D189" s="10" t="s">
        <v>380</v>
      </c>
      <c r="E189" s="193" t="s">
        <v>806</v>
      </c>
      <c r="F189" s="202">
        <v>8.15</v>
      </c>
      <c r="G189" s="200">
        <f t="shared" ref="G189:G212" si="43">H189/1000</f>
        <v>2.4</v>
      </c>
      <c r="H189" s="203">
        <v>2400</v>
      </c>
      <c r="I189" s="10" t="s">
        <v>654</v>
      </c>
      <c r="J189" s="10" t="s">
        <v>34</v>
      </c>
      <c r="K189" s="10" t="s">
        <v>756</v>
      </c>
      <c r="L189" s="193"/>
      <c r="M189" s="196">
        <v>14.8</v>
      </c>
      <c r="N189" s="196">
        <f>M189</f>
        <v>14.8</v>
      </c>
      <c r="AP189" s="197">
        <f>N189*2.67-T189</f>
        <v>39.515999999999998</v>
      </c>
      <c r="AR189" s="197">
        <f>O189*G189-U189</f>
        <v>0</v>
      </c>
      <c r="BB189" s="196">
        <f t="shared" si="42"/>
        <v>14.8</v>
      </c>
    </row>
    <row r="190" spans="1:54" x14ac:dyDescent="0.2">
      <c r="A190" s="171">
        <v>436</v>
      </c>
      <c r="B190" s="171" t="s">
        <v>119</v>
      </c>
      <c r="C190" s="171" t="s">
        <v>113</v>
      </c>
      <c r="D190" s="10" t="s">
        <v>403</v>
      </c>
      <c r="E190" s="193" t="s">
        <v>891</v>
      </c>
      <c r="F190" s="200">
        <v>3.7</v>
      </c>
      <c r="G190" s="200">
        <f t="shared" si="43"/>
        <v>2.4</v>
      </c>
      <c r="H190" s="203">
        <v>2400</v>
      </c>
      <c r="I190" s="10" t="s">
        <v>656</v>
      </c>
      <c r="J190" s="10" t="s">
        <v>34</v>
      </c>
      <c r="K190" s="10" t="s">
        <v>756</v>
      </c>
      <c r="L190" s="193"/>
      <c r="M190" s="196">
        <v>7.5</v>
      </c>
      <c r="N190" s="196">
        <f>M190</f>
        <v>7.5</v>
      </c>
      <c r="T190" s="196">
        <f>1.7*2.4</f>
        <v>4.08</v>
      </c>
      <c r="BB190" s="196">
        <f t="shared" si="42"/>
        <v>7.5</v>
      </c>
    </row>
    <row r="191" spans="1:54" x14ac:dyDescent="0.2">
      <c r="A191" s="171">
        <v>283</v>
      </c>
      <c r="B191" s="171" t="s">
        <v>118</v>
      </c>
      <c r="C191" s="171" t="s">
        <v>112</v>
      </c>
      <c r="D191" s="10" t="s">
        <v>453</v>
      </c>
      <c r="E191" s="193" t="s">
        <v>841</v>
      </c>
      <c r="F191" s="202">
        <v>8.15</v>
      </c>
      <c r="G191" s="200">
        <f t="shared" si="43"/>
        <v>2.4</v>
      </c>
      <c r="H191" s="203">
        <v>2400</v>
      </c>
      <c r="I191" s="10" t="s">
        <v>656</v>
      </c>
      <c r="J191" s="10" t="s">
        <v>89</v>
      </c>
      <c r="K191" s="10" t="s">
        <v>763</v>
      </c>
      <c r="L191" s="193"/>
      <c r="M191" s="196">
        <v>12.05</v>
      </c>
      <c r="N191" s="196">
        <f t="shared" ref="N191:N199" si="44">0.2+0.8</f>
        <v>1</v>
      </c>
      <c r="O191" s="196">
        <f t="shared" ref="O191:O199" si="45">M191-P191-N191</f>
        <v>7.3000000000000007</v>
      </c>
      <c r="P191" s="196">
        <f t="shared" ref="P191:P199" si="46">0.6*2+2.55</f>
        <v>3.75</v>
      </c>
      <c r="U191" s="196">
        <f t="shared" ref="U191:U199" si="47">1.8*2.4</f>
        <v>4.32</v>
      </c>
      <c r="AL191" s="197">
        <f>N191*H191/1000-T191</f>
        <v>2.4</v>
      </c>
      <c r="AM191" s="197">
        <f>O191*H191/1000-U191</f>
        <v>13.2</v>
      </c>
      <c r="AN191" s="197">
        <f>P191*H191/1000-V191</f>
        <v>9</v>
      </c>
      <c r="AO191" s="171"/>
      <c r="AP191" s="197">
        <f>Q191*H191/1000-W191</f>
        <v>0</v>
      </c>
      <c r="BB191" s="196">
        <f t="shared" ref="BB191:BB199" si="48">N191+O191</f>
        <v>8.3000000000000007</v>
      </c>
    </row>
    <row r="192" spans="1:54" x14ac:dyDescent="0.2">
      <c r="A192" s="171">
        <v>322</v>
      </c>
      <c r="B192" s="171" t="s">
        <v>118</v>
      </c>
      <c r="C192" s="171" t="s">
        <v>113</v>
      </c>
      <c r="D192" s="10" t="s">
        <v>450</v>
      </c>
      <c r="E192" s="193" t="s">
        <v>855</v>
      </c>
      <c r="F192" s="202">
        <v>8.15</v>
      </c>
      <c r="G192" s="200">
        <f t="shared" si="43"/>
        <v>2.4</v>
      </c>
      <c r="H192" s="203">
        <v>2400</v>
      </c>
      <c r="I192" s="10" t="s">
        <v>656</v>
      </c>
      <c r="J192" s="10" t="s">
        <v>89</v>
      </c>
      <c r="K192" s="10" t="s">
        <v>763</v>
      </c>
      <c r="L192" s="212"/>
      <c r="M192" s="196">
        <v>12.05</v>
      </c>
      <c r="N192" s="196">
        <f t="shared" si="44"/>
        <v>1</v>
      </c>
      <c r="O192" s="196">
        <f t="shared" si="45"/>
        <v>7.3000000000000007</v>
      </c>
      <c r="P192" s="196">
        <f t="shared" si="46"/>
        <v>3.75</v>
      </c>
      <c r="U192" s="196">
        <f t="shared" si="47"/>
        <v>4.32</v>
      </c>
      <c r="AQ192" s="197">
        <f>N192*G192-T192</f>
        <v>2.4</v>
      </c>
      <c r="BB192" s="196">
        <f t="shared" si="48"/>
        <v>8.3000000000000007</v>
      </c>
    </row>
    <row r="193" spans="1:54" x14ac:dyDescent="0.2">
      <c r="A193" s="186">
        <v>392</v>
      </c>
      <c r="B193" s="171" t="s">
        <v>119</v>
      </c>
      <c r="C193" s="171" t="s">
        <v>112</v>
      </c>
      <c r="D193" s="10" t="s">
        <v>454</v>
      </c>
      <c r="E193" s="193" t="s">
        <v>869</v>
      </c>
      <c r="F193" s="194">
        <v>8.15</v>
      </c>
      <c r="G193" s="200">
        <f t="shared" si="43"/>
        <v>2.4</v>
      </c>
      <c r="H193" s="208">
        <v>2400</v>
      </c>
      <c r="I193" s="10" t="s">
        <v>862</v>
      </c>
      <c r="J193" s="10" t="s">
        <v>89</v>
      </c>
      <c r="K193" s="10" t="s">
        <v>738</v>
      </c>
      <c r="L193" s="193"/>
      <c r="M193" s="196">
        <v>12.05</v>
      </c>
      <c r="N193" s="196">
        <f t="shared" si="44"/>
        <v>1</v>
      </c>
      <c r="O193" s="196">
        <f t="shared" si="45"/>
        <v>7.3000000000000007</v>
      </c>
      <c r="P193" s="196">
        <f t="shared" si="46"/>
        <v>3.75</v>
      </c>
      <c r="U193" s="196">
        <f t="shared" si="47"/>
        <v>4.32</v>
      </c>
      <c r="AM193" s="197">
        <f>N193*G193-T193</f>
        <v>2.4</v>
      </c>
      <c r="AP193" s="197">
        <f>O193*G193-U193</f>
        <v>13.2</v>
      </c>
      <c r="BB193" s="196">
        <f t="shared" si="48"/>
        <v>8.3000000000000007</v>
      </c>
    </row>
    <row r="194" spans="1:54" x14ac:dyDescent="0.2">
      <c r="A194" s="186">
        <v>432</v>
      </c>
      <c r="B194" s="171" t="s">
        <v>119</v>
      </c>
      <c r="C194" s="171" t="s">
        <v>113</v>
      </c>
      <c r="D194" s="10" t="s">
        <v>455</v>
      </c>
      <c r="E194" s="193" t="s">
        <v>841</v>
      </c>
      <c r="F194" s="200">
        <v>8.15</v>
      </c>
      <c r="G194" s="200">
        <f t="shared" si="43"/>
        <v>2.4</v>
      </c>
      <c r="H194" s="203">
        <v>2400</v>
      </c>
      <c r="I194" s="10" t="s">
        <v>656</v>
      </c>
      <c r="J194" s="10" t="s">
        <v>89</v>
      </c>
      <c r="K194" s="10" t="s">
        <v>756</v>
      </c>
      <c r="L194" s="193"/>
      <c r="M194" s="196">
        <v>12.05</v>
      </c>
      <c r="N194" s="196">
        <f t="shared" si="44"/>
        <v>1</v>
      </c>
      <c r="O194" s="196">
        <f t="shared" si="45"/>
        <v>7.3000000000000007</v>
      </c>
      <c r="P194" s="196">
        <f t="shared" si="46"/>
        <v>3.75</v>
      </c>
      <c r="U194" s="196">
        <f t="shared" si="47"/>
        <v>4.32</v>
      </c>
      <c r="BB194" s="196">
        <f t="shared" si="48"/>
        <v>8.3000000000000007</v>
      </c>
    </row>
    <row r="195" spans="1:54" x14ac:dyDescent="0.2">
      <c r="A195" s="186">
        <v>471</v>
      </c>
      <c r="B195" s="171" t="s">
        <v>119</v>
      </c>
      <c r="C195" s="171" t="s">
        <v>114</v>
      </c>
      <c r="D195" s="10" t="s">
        <v>456</v>
      </c>
      <c r="E195" s="193" t="s">
        <v>841</v>
      </c>
      <c r="F195" s="202">
        <v>8.1999999999999993</v>
      </c>
      <c r="G195" s="200">
        <f t="shared" si="43"/>
        <v>2.4</v>
      </c>
      <c r="H195" s="203">
        <v>2400</v>
      </c>
      <c r="I195" s="10" t="s">
        <v>656</v>
      </c>
      <c r="J195" s="10" t="s">
        <v>89</v>
      </c>
      <c r="K195" s="10" t="s">
        <v>763</v>
      </c>
      <c r="L195" s="193"/>
      <c r="M195" s="196">
        <v>12.05</v>
      </c>
      <c r="N195" s="196">
        <f t="shared" si="44"/>
        <v>1</v>
      </c>
      <c r="O195" s="196">
        <f t="shared" si="45"/>
        <v>7.3000000000000007</v>
      </c>
      <c r="P195" s="196">
        <f t="shared" si="46"/>
        <v>3.75</v>
      </c>
      <c r="U195" s="196">
        <f t="shared" si="47"/>
        <v>4.32</v>
      </c>
      <c r="BB195" s="196">
        <f t="shared" si="48"/>
        <v>8.3000000000000007</v>
      </c>
    </row>
    <row r="196" spans="1:54" x14ac:dyDescent="0.2">
      <c r="A196" s="171">
        <v>511</v>
      </c>
      <c r="B196" s="171" t="s">
        <v>120</v>
      </c>
      <c r="C196" s="171" t="s">
        <v>112</v>
      </c>
      <c r="D196" s="10" t="s">
        <v>451</v>
      </c>
      <c r="E196" s="193" t="s">
        <v>855</v>
      </c>
      <c r="F196" s="202">
        <v>8.15</v>
      </c>
      <c r="G196" s="200">
        <f t="shared" si="43"/>
        <v>2.4</v>
      </c>
      <c r="H196" s="203">
        <v>2400</v>
      </c>
      <c r="I196" s="10" t="s">
        <v>656</v>
      </c>
      <c r="J196" s="10" t="s">
        <v>89</v>
      </c>
      <c r="K196" s="10" t="s">
        <v>756</v>
      </c>
      <c r="L196" s="212"/>
      <c r="M196" s="196">
        <v>12.05</v>
      </c>
      <c r="N196" s="196">
        <f t="shared" si="44"/>
        <v>1</v>
      </c>
      <c r="O196" s="196">
        <f t="shared" si="45"/>
        <v>7.3000000000000007</v>
      </c>
      <c r="P196" s="196">
        <f t="shared" si="46"/>
        <v>3.75</v>
      </c>
      <c r="U196" s="196">
        <f t="shared" si="47"/>
        <v>4.32</v>
      </c>
      <c r="AP196" s="197">
        <f>N196*G196-T196</f>
        <v>2.4</v>
      </c>
      <c r="AQ196" s="197">
        <f>O196*G196-U196</f>
        <v>13.2</v>
      </c>
      <c r="AT196" s="197">
        <f>P196*G196-V196</f>
        <v>9</v>
      </c>
      <c r="BB196" s="196">
        <f t="shared" si="48"/>
        <v>8.3000000000000007</v>
      </c>
    </row>
    <row r="197" spans="1:54" x14ac:dyDescent="0.2">
      <c r="A197" s="171">
        <v>550</v>
      </c>
      <c r="B197" s="171" t="s">
        <v>120</v>
      </c>
      <c r="C197" s="171" t="s">
        <v>113</v>
      </c>
      <c r="D197" s="10" t="s">
        <v>452</v>
      </c>
      <c r="E197" s="193" t="s">
        <v>855</v>
      </c>
      <c r="F197" s="202">
        <v>8.15</v>
      </c>
      <c r="G197" s="200">
        <f t="shared" si="43"/>
        <v>2.4</v>
      </c>
      <c r="H197" s="203">
        <v>2400</v>
      </c>
      <c r="I197" s="10" t="s">
        <v>656</v>
      </c>
      <c r="J197" s="10" t="s">
        <v>89</v>
      </c>
      <c r="K197" s="10" t="s">
        <v>756</v>
      </c>
      <c r="L197" s="193"/>
      <c r="M197" s="196">
        <v>12.05</v>
      </c>
      <c r="N197" s="196">
        <f t="shared" si="44"/>
        <v>1</v>
      </c>
      <c r="O197" s="196">
        <f t="shared" si="45"/>
        <v>7.3000000000000007</v>
      </c>
      <c r="P197" s="196">
        <f t="shared" si="46"/>
        <v>3.75</v>
      </c>
      <c r="U197" s="196">
        <f t="shared" si="47"/>
        <v>4.32</v>
      </c>
      <c r="AP197" s="197">
        <f>N197*2.67-T197</f>
        <v>2.67</v>
      </c>
      <c r="AQ197" s="197">
        <f>O197*2.4-U197</f>
        <v>13.2</v>
      </c>
      <c r="BB197" s="196">
        <f t="shared" si="48"/>
        <v>8.3000000000000007</v>
      </c>
    </row>
    <row r="198" spans="1:54" x14ac:dyDescent="0.2">
      <c r="A198" s="171">
        <v>589</v>
      </c>
      <c r="B198" s="171" t="s">
        <v>120</v>
      </c>
      <c r="C198" s="171" t="s">
        <v>114</v>
      </c>
      <c r="D198" s="10" t="s">
        <v>457</v>
      </c>
      <c r="E198" s="193" t="s">
        <v>841</v>
      </c>
      <c r="F198" s="202">
        <v>8.1999999999999993</v>
      </c>
      <c r="G198" s="200">
        <f t="shared" si="43"/>
        <v>2.4</v>
      </c>
      <c r="H198" s="203">
        <v>2400</v>
      </c>
      <c r="I198" s="10" t="s">
        <v>656</v>
      </c>
      <c r="J198" s="10" t="s">
        <v>89</v>
      </c>
      <c r="K198" s="10" t="s">
        <v>763</v>
      </c>
      <c r="L198" s="193"/>
      <c r="M198" s="196">
        <v>12.05</v>
      </c>
      <c r="N198" s="196">
        <f t="shared" si="44"/>
        <v>1</v>
      </c>
      <c r="O198" s="196">
        <f t="shared" si="45"/>
        <v>7.3000000000000007</v>
      </c>
      <c r="P198" s="196">
        <f t="shared" si="46"/>
        <v>3.75</v>
      </c>
      <c r="U198" s="196">
        <f t="shared" si="47"/>
        <v>4.32</v>
      </c>
      <c r="AM198" s="197">
        <f>N198*G198-T198</f>
        <v>2.4</v>
      </c>
      <c r="AN198" s="197">
        <f>O198*G198-U198</f>
        <v>13.2</v>
      </c>
      <c r="AO198" s="197">
        <f>P198*G198-V198</f>
        <v>9</v>
      </c>
      <c r="AZ198" s="197">
        <f>Q198*G198-W198</f>
        <v>0</v>
      </c>
      <c r="BB198" s="196">
        <f t="shared" si="48"/>
        <v>8.3000000000000007</v>
      </c>
    </row>
    <row r="199" spans="1:54" x14ac:dyDescent="0.2">
      <c r="A199" s="186">
        <v>360</v>
      </c>
      <c r="B199" s="171" t="s">
        <v>118</v>
      </c>
      <c r="C199" s="171" t="s">
        <v>114</v>
      </c>
      <c r="D199" s="10" t="s">
        <v>234</v>
      </c>
      <c r="E199" s="193" t="s">
        <v>869</v>
      </c>
      <c r="F199" s="194">
        <v>8.1999999999999993</v>
      </c>
      <c r="G199" s="200">
        <f t="shared" si="43"/>
        <v>2.4</v>
      </c>
      <c r="H199" s="208">
        <v>2400</v>
      </c>
      <c r="I199" s="10" t="s">
        <v>1466</v>
      </c>
      <c r="J199" s="10" t="s">
        <v>89</v>
      </c>
      <c r="K199" s="10" t="s">
        <v>738</v>
      </c>
      <c r="L199" s="193"/>
      <c r="M199" s="196">
        <v>12.05</v>
      </c>
      <c r="N199" s="196">
        <f t="shared" si="44"/>
        <v>1</v>
      </c>
      <c r="O199" s="196">
        <f t="shared" si="45"/>
        <v>7.3000000000000007</v>
      </c>
      <c r="P199" s="196">
        <f t="shared" si="46"/>
        <v>3.75</v>
      </c>
      <c r="U199" s="196">
        <f t="shared" si="47"/>
        <v>4.32</v>
      </c>
      <c r="AH199" s="197">
        <f>N199*G199-T199</f>
        <v>2.4</v>
      </c>
      <c r="AP199" s="197">
        <f>O199*G199-U199</f>
        <v>13.2</v>
      </c>
      <c r="AR199" s="197">
        <f>P199*G199-V199</f>
        <v>9</v>
      </c>
      <c r="BB199" s="196">
        <f t="shared" si="48"/>
        <v>8.3000000000000007</v>
      </c>
    </row>
    <row r="200" spans="1:54" x14ac:dyDescent="0.2">
      <c r="A200" s="171">
        <v>397</v>
      </c>
      <c r="B200" s="171" t="s">
        <v>119</v>
      </c>
      <c r="C200" s="171" t="s">
        <v>112</v>
      </c>
      <c r="D200" s="10" t="s">
        <v>402</v>
      </c>
      <c r="E200" s="193" t="s">
        <v>877</v>
      </c>
      <c r="F200" s="194">
        <v>5.6</v>
      </c>
      <c r="G200" s="200">
        <f t="shared" si="43"/>
        <v>2.4</v>
      </c>
      <c r="H200" s="208">
        <v>2400</v>
      </c>
      <c r="I200" s="10" t="s">
        <v>862</v>
      </c>
      <c r="J200" s="10" t="s">
        <v>34</v>
      </c>
      <c r="K200" s="10" t="s">
        <v>752</v>
      </c>
      <c r="L200" s="193"/>
      <c r="M200" s="196">
        <v>9.75</v>
      </c>
      <c r="N200" s="196">
        <f>M200</f>
        <v>9.75</v>
      </c>
      <c r="AM200" s="197">
        <f>N200*G200-T200</f>
        <v>23.4</v>
      </c>
      <c r="AP200" s="197">
        <f>O200*G200-U200</f>
        <v>0</v>
      </c>
      <c r="BB200" s="196">
        <f>M200</f>
        <v>9.75</v>
      </c>
    </row>
    <row r="201" spans="1:54" x14ac:dyDescent="0.2">
      <c r="A201" s="186">
        <v>476</v>
      </c>
      <c r="B201" s="171" t="s">
        <v>119</v>
      </c>
      <c r="C201" s="171" t="s">
        <v>114</v>
      </c>
      <c r="D201" s="10" t="s">
        <v>404</v>
      </c>
      <c r="E201" s="193" t="s">
        <v>891</v>
      </c>
      <c r="F201" s="202">
        <v>5.6</v>
      </c>
      <c r="G201" s="200">
        <f t="shared" si="43"/>
        <v>2.4</v>
      </c>
      <c r="H201" s="203">
        <v>2400</v>
      </c>
      <c r="I201" s="10" t="s">
        <v>656</v>
      </c>
      <c r="J201" s="10" t="s">
        <v>34</v>
      </c>
      <c r="K201" s="10" t="s">
        <v>756</v>
      </c>
      <c r="L201" s="193"/>
      <c r="M201" s="196">
        <v>9.75</v>
      </c>
      <c r="N201" s="196">
        <f>M201</f>
        <v>9.75</v>
      </c>
      <c r="AM201" s="197">
        <f>N201*G201-T201</f>
        <v>23.4</v>
      </c>
      <c r="AP201" s="197">
        <f>O201*G201-U201</f>
        <v>0</v>
      </c>
      <c r="AR201" s="197">
        <f>P201*G201-V201</f>
        <v>0</v>
      </c>
      <c r="BB201" s="196">
        <f>M201</f>
        <v>9.75</v>
      </c>
    </row>
    <row r="202" spans="1:54" x14ac:dyDescent="0.2">
      <c r="A202" s="171">
        <v>292</v>
      </c>
      <c r="B202" s="171" t="s">
        <v>118</v>
      </c>
      <c r="C202" s="171" t="s">
        <v>112</v>
      </c>
      <c r="D202" s="10" t="s">
        <v>848</v>
      </c>
      <c r="E202" s="193" t="s">
        <v>849</v>
      </c>
      <c r="F202" s="202">
        <v>9.25</v>
      </c>
      <c r="G202" s="200">
        <f t="shared" si="43"/>
        <v>2.67</v>
      </c>
      <c r="H202" s="203">
        <v>2670</v>
      </c>
      <c r="I202" s="10" t="s">
        <v>656</v>
      </c>
      <c r="J202" s="10" t="s">
        <v>46</v>
      </c>
      <c r="K202" s="10" t="s">
        <v>756</v>
      </c>
      <c r="L202" s="193"/>
      <c r="M202" s="196">
        <f>4.2*2+2.2*2</f>
        <v>12.8</v>
      </c>
      <c r="N202" s="196">
        <f>M202-O202</f>
        <v>11</v>
      </c>
      <c r="O202" s="196">
        <v>1.8</v>
      </c>
      <c r="T202" s="196">
        <f>2.2*2.55</f>
        <v>5.61</v>
      </c>
      <c r="BB202" s="196">
        <f>N202</f>
        <v>11</v>
      </c>
    </row>
    <row r="203" spans="1:54" x14ac:dyDescent="0.2">
      <c r="A203" s="171">
        <v>331</v>
      </c>
      <c r="B203" s="171" t="s">
        <v>118</v>
      </c>
      <c r="C203" s="171" t="s">
        <v>113</v>
      </c>
      <c r="D203" s="10" t="s">
        <v>859</v>
      </c>
      <c r="E203" s="193" t="s">
        <v>849</v>
      </c>
      <c r="F203" s="202">
        <v>9.1999999999999993</v>
      </c>
      <c r="G203" s="200">
        <f t="shared" si="43"/>
        <v>2.67</v>
      </c>
      <c r="H203" s="203">
        <v>2670</v>
      </c>
      <c r="I203" s="10" t="s">
        <v>656</v>
      </c>
      <c r="J203" s="10" t="s">
        <v>46</v>
      </c>
      <c r="K203" s="10" t="s">
        <v>756</v>
      </c>
      <c r="L203" s="212"/>
      <c r="M203" s="196">
        <f>4.2*2+2.2*2</f>
        <v>12.8</v>
      </c>
      <c r="N203" s="196">
        <f>M203-O203</f>
        <v>11</v>
      </c>
      <c r="O203" s="196">
        <v>1.8</v>
      </c>
      <c r="T203" s="196">
        <f>2.2*2.55</f>
        <v>5.61</v>
      </c>
      <c r="AG203" s="197">
        <f>N203*G203-T203</f>
        <v>23.759999999999998</v>
      </c>
      <c r="AQ203" s="197">
        <f>O203*G203-U203</f>
        <v>4.806</v>
      </c>
      <c r="BB203" s="196">
        <f>N203</f>
        <v>11</v>
      </c>
    </row>
    <row r="204" spans="1:54" x14ac:dyDescent="0.2">
      <c r="A204" s="171">
        <v>520</v>
      </c>
      <c r="B204" s="171" t="s">
        <v>120</v>
      </c>
      <c r="C204" s="171" t="s">
        <v>112</v>
      </c>
      <c r="D204" s="10" t="s">
        <v>910</v>
      </c>
      <c r="E204" s="193" t="s">
        <v>911</v>
      </c>
      <c r="F204" s="202">
        <v>9.25</v>
      </c>
      <c r="G204" s="200">
        <f t="shared" si="43"/>
        <v>2.67</v>
      </c>
      <c r="H204" s="203">
        <v>2670</v>
      </c>
      <c r="I204" s="10" t="s">
        <v>656</v>
      </c>
      <c r="J204" s="10" t="s">
        <v>46</v>
      </c>
      <c r="K204" s="10" t="s">
        <v>763</v>
      </c>
      <c r="L204" s="212"/>
      <c r="M204" s="196">
        <f>4.2*2+2.2*2</f>
        <v>12.8</v>
      </c>
      <c r="N204" s="196">
        <f>M204-O204</f>
        <v>11</v>
      </c>
      <c r="O204" s="196">
        <v>1.8</v>
      </c>
      <c r="T204" s="196">
        <f>2.2*2.55</f>
        <v>5.61</v>
      </c>
      <c r="BB204" s="196">
        <f>N204</f>
        <v>11</v>
      </c>
    </row>
    <row r="205" spans="1:54" x14ac:dyDescent="0.2">
      <c r="A205" s="171">
        <v>559</v>
      </c>
      <c r="B205" s="171" t="s">
        <v>120</v>
      </c>
      <c r="C205" s="171" t="s">
        <v>113</v>
      </c>
      <c r="D205" s="10" t="s">
        <v>919</v>
      </c>
      <c r="E205" s="193" t="s">
        <v>849</v>
      </c>
      <c r="F205" s="202">
        <v>9.1999999999999993</v>
      </c>
      <c r="G205" s="200">
        <f t="shared" si="43"/>
        <v>2.67</v>
      </c>
      <c r="H205" s="203">
        <v>2670</v>
      </c>
      <c r="I205" s="10" t="s">
        <v>656</v>
      </c>
      <c r="J205" s="10" t="s">
        <v>46</v>
      </c>
      <c r="K205" s="10" t="s">
        <v>763</v>
      </c>
      <c r="L205" s="193"/>
      <c r="M205" s="196">
        <f>4.2*2+2.2*2</f>
        <v>12.8</v>
      </c>
      <c r="N205" s="196">
        <f>M205-O205</f>
        <v>11</v>
      </c>
      <c r="O205" s="196">
        <v>1.8</v>
      </c>
      <c r="T205" s="196">
        <f>2.2*2.55</f>
        <v>5.61</v>
      </c>
      <c r="AP205" s="197">
        <f>N205*2.67-T205</f>
        <v>23.759999999999998</v>
      </c>
      <c r="AQ205" s="197">
        <f>O205*2.4-U205</f>
        <v>4.32</v>
      </c>
      <c r="AY205" s="197">
        <f>P205*2.67-V205</f>
        <v>0</v>
      </c>
      <c r="BB205" s="196">
        <f>N205</f>
        <v>11</v>
      </c>
    </row>
    <row r="206" spans="1:54" x14ac:dyDescent="0.2">
      <c r="A206" s="171">
        <v>598</v>
      </c>
      <c r="B206" s="171" t="s">
        <v>120</v>
      </c>
      <c r="C206" s="171" t="s">
        <v>114</v>
      </c>
      <c r="D206" s="10" t="s">
        <v>927</v>
      </c>
      <c r="E206" s="193" t="s">
        <v>849</v>
      </c>
      <c r="F206" s="202">
        <v>9</v>
      </c>
      <c r="G206" s="200">
        <f t="shared" si="43"/>
        <v>2.67</v>
      </c>
      <c r="H206" s="203">
        <v>2670</v>
      </c>
      <c r="I206" s="10" t="s">
        <v>656</v>
      </c>
      <c r="J206" s="10" t="s">
        <v>46</v>
      </c>
      <c r="K206" s="10" t="s">
        <v>756</v>
      </c>
      <c r="L206" s="193"/>
      <c r="M206" s="196">
        <f>4.2*2+2.2*2</f>
        <v>12.8</v>
      </c>
      <c r="N206" s="196">
        <f>M206-O206</f>
        <v>11</v>
      </c>
      <c r="O206" s="196">
        <v>1.8</v>
      </c>
      <c r="T206" s="196">
        <f>2.2*2.55</f>
        <v>5.61</v>
      </c>
      <c r="BB206" s="196">
        <f>N206</f>
        <v>11</v>
      </c>
    </row>
    <row r="207" spans="1:54" x14ac:dyDescent="0.2">
      <c r="A207" s="186">
        <v>437</v>
      </c>
      <c r="B207" s="171" t="s">
        <v>119</v>
      </c>
      <c r="C207" s="171" t="s">
        <v>113</v>
      </c>
      <c r="D207" s="10" t="s">
        <v>467</v>
      </c>
      <c r="E207" s="193" t="s">
        <v>893</v>
      </c>
      <c r="F207" s="200">
        <v>18.45</v>
      </c>
      <c r="G207" s="200">
        <f t="shared" si="43"/>
        <v>2.67</v>
      </c>
      <c r="H207" s="203">
        <v>2670</v>
      </c>
      <c r="I207" s="10" t="s">
        <v>656</v>
      </c>
      <c r="J207" s="10" t="s">
        <v>106</v>
      </c>
      <c r="K207" s="10" t="s">
        <v>759</v>
      </c>
      <c r="L207" s="193"/>
      <c r="M207" s="196">
        <v>20.149999999999999</v>
      </c>
      <c r="N207" s="196">
        <f>2.05+0.6+3.78</f>
        <v>6.43</v>
      </c>
      <c r="O207" s="196">
        <f>M207-Q207-N207-P207</f>
        <v>6.9700000000000006</v>
      </c>
      <c r="P207" s="196">
        <f>2+0.6</f>
        <v>2.6</v>
      </c>
      <c r="Q207" s="196">
        <f>2.5-0.6+0.3+1.95</f>
        <v>4.1499999999999995</v>
      </c>
      <c r="U207" s="196">
        <f>3.74*2.55</f>
        <v>9.536999999999999</v>
      </c>
      <c r="AL207" s="197">
        <f>N207*H207/1000-T207</f>
        <v>17.168099999999999</v>
      </c>
      <c r="AM207" s="197">
        <f>O207*H207/1000-U207</f>
        <v>9.0729000000000042</v>
      </c>
      <c r="AN207" s="197">
        <f>P207*H207/1000-V207</f>
        <v>6.9420000000000002</v>
      </c>
      <c r="AO207" s="171"/>
      <c r="AP207" s="197">
        <f>Q207*H207/1000-W207</f>
        <v>11.080499999999999</v>
      </c>
      <c r="AZ207" s="197">
        <f>R207*H207/1000-X207</f>
        <v>0</v>
      </c>
      <c r="BB207" s="196">
        <f>O207+Q207</f>
        <v>11.120000000000001</v>
      </c>
    </row>
    <row r="208" spans="1:54" x14ac:dyDescent="0.2">
      <c r="A208" s="186">
        <v>477</v>
      </c>
      <c r="B208" s="171" t="s">
        <v>119</v>
      </c>
      <c r="C208" s="171" t="s">
        <v>114</v>
      </c>
      <c r="D208" s="10" t="s">
        <v>468</v>
      </c>
      <c r="E208" s="193" t="s">
        <v>893</v>
      </c>
      <c r="F208" s="202">
        <v>15.35</v>
      </c>
      <c r="G208" s="200">
        <f t="shared" si="43"/>
        <v>2.67</v>
      </c>
      <c r="H208" s="211">
        <v>2670</v>
      </c>
      <c r="I208" s="10" t="s">
        <v>656</v>
      </c>
      <c r="J208" s="10" t="s">
        <v>46</v>
      </c>
      <c r="K208" s="10" t="s">
        <v>763</v>
      </c>
      <c r="L208" s="193"/>
      <c r="M208" s="196">
        <f>3.35*2+0.6*2+3.935*2</f>
        <v>15.77</v>
      </c>
      <c r="N208" s="196">
        <f>M208-O208</f>
        <v>11.219999999999999</v>
      </c>
      <c r="O208" s="196">
        <f>0.6+3.35+0.6</f>
        <v>4.55</v>
      </c>
      <c r="T208" s="196">
        <f>3.35*2.55</f>
        <v>8.5425000000000004</v>
      </c>
      <c r="AM208" s="197">
        <f>N208*G208-T208</f>
        <v>21.414899999999996</v>
      </c>
      <c r="AP208" s="197">
        <f>O208*G208-U208</f>
        <v>12.148499999999999</v>
      </c>
      <c r="BB208" s="196">
        <f>N208</f>
        <v>11.219999999999999</v>
      </c>
    </row>
    <row r="209" spans="1:54" x14ac:dyDescent="0.2">
      <c r="A209" s="186">
        <v>398</v>
      </c>
      <c r="B209" s="171" t="s">
        <v>119</v>
      </c>
      <c r="C209" s="171" t="s">
        <v>112</v>
      </c>
      <c r="D209" s="10" t="s">
        <v>466</v>
      </c>
      <c r="E209" s="193" t="s">
        <v>879</v>
      </c>
      <c r="F209" s="194">
        <v>15.85</v>
      </c>
      <c r="G209" s="200">
        <f t="shared" si="43"/>
        <v>2.67</v>
      </c>
      <c r="H209" s="211">
        <v>2670</v>
      </c>
      <c r="I209" s="10" t="s">
        <v>862</v>
      </c>
      <c r="J209" s="10" t="s">
        <v>46</v>
      </c>
      <c r="K209" s="10" t="s">
        <v>738</v>
      </c>
      <c r="L209" s="193"/>
      <c r="M209" s="196">
        <v>17</v>
      </c>
      <c r="N209" s="196">
        <f>M209-O209</f>
        <v>11.95</v>
      </c>
      <c r="O209" s="196">
        <f>0.6+3.3+1.15</f>
        <v>5.05</v>
      </c>
      <c r="T209" s="196">
        <f>3.3*2.55</f>
        <v>8.4149999999999991</v>
      </c>
      <c r="AM209" s="197">
        <f>N209*G209-T209</f>
        <v>23.491499999999998</v>
      </c>
      <c r="AP209" s="197">
        <f>O209*G209-U209</f>
        <v>13.483499999999999</v>
      </c>
      <c r="BB209" s="196">
        <f>N209</f>
        <v>11.95</v>
      </c>
    </row>
    <row r="210" spans="1:54" x14ac:dyDescent="0.2">
      <c r="A210" s="186">
        <v>428</v>
      </c>
      <c r="B210" s="171" t="s">
        <v>119</v>
      </c>
      <c r="C210" s="171" t="s">
        <v>113</v>
      </c>
      <c r="D210" s="10" t="s">
        <v>343</v>
      </c>
      <c r="E210" s="193" t="s">
        <v>679</v>
      </c>
      <c r="F210" s="200">
        <v>67.599999999999994</v>
      </c>
      <c r="G210" s="200">
        <f t="shared" si="43"/>
        <v>2.83</v>
      </c>
      <c r="H210" s="203">
        <v>2830</v>
      </c>
      <c r="I210" s="10" t="s">
        <v>656</v>
      </c>
      <c r="J210" s="10" t="s">
        <v>96</v>
      </c>
      <c r="K210" s="10" t="s">
        <v>836</v>
      </c>
      <c r="L210" s="193"/>
      <c r="M210" s="196">
        <v>62.4</v>
      </c>
      <c r="N210" s="196">
        <v>2.4</v>
      </c>
      <c r="O210" s="196">
        <f>(0.325*2+2.25)*3</f>
        <v>8.6999999999999993</v>
      </c>
      <c r="P210" s="196">
        <f>M210-N210-O210-Q210</f>
        <v>37.774999999999999</v>
      </c>
      <c r="Q210" s="196">
        <f>6.5+0.425+6.6</f>
        <v>13.524999999999999</v>
      </c>
      <c r="T210" s="196">
        <f t="shared" ref="T210:T218" si="49">1.1*2.1</f>
        <v>2.3100000000000005</v>
      </c>
      <c r="V210" s="196">
        <f>2.4*2.55+2.45*2.85*2+2.555*2.55</f>
        <v>26.600250000000003</v>
      </c>
      <c r="AM210" s="197">
        <f>N210*G210-T210</f>
        <v>4.4819999999999993</v>
      </c>
      <c r="AN210" s="197">
        <f>O210*G210-U210</f>
        <v>24.620999999999999</v>
      </c>
      <c r="AP210" s="197">
        <f>P210*G210-V210</f>
        <v>80.302999999999997</v>
      </c>
      <c r="BB210" s="196">
        <f>M210-Q210</f>
        <v>48.875</v>
      </c>
    </row>
    <row r="211" spans="1:54" x14ac:dyDescent="0.2">
      <c r="A211" s="186">
        <v>318</v>
      </c>
      <c r="B211" s="171" t="s">
        <v>118</v>
      </c>
      <c r="C211" s="171" t="s">
        <v>113</v>
      </c>
      <c r="D211" s="10" t="s">
        <v>344</v>
      </c>
      <c r="E211" s="193" t="s">
        <v>679</v>
      </c>
      <c r="F211" s="202">
        <v>68</v>
      </c>
      <c r="G211" s="200">
        <f t="shared" si="43"/>
        <v>2.83</v>
      </c>
      <c r="H211" s="203">
        <v>2830</v>
      </c>
      <c r="I211" s="10" t="s">
        <v>656</v>
      </c>
      <c r="J211" s="10" t="s">
        <v>109</v>
      </c>
      <c r="K211" s="10" t="s">
        <v>836</v>
      </c>
      <c r="L211" s="212"/>
      <c r="M211" s="196">
        <v>62.4</v>
      </c>
      <c r="N211" s="196">
        <v>2.4</v>
      </c>
      <c r="O211" s="196">
        <f>(0.325*2+2.25)*3</f>
        <v>8.6999999999999993</v>
      </c>
      <c r="P211" s="196">
        <f>M211-N211-O211-Q211</f>
        <v>37.774999999999999</v>
      </c>
      <c r="Q211" s="196">
        <f>6.5+0.425+6.6</f>
        <v>13.524999999999999</v>
      </c>
      <c r="T211" s="196">
        <f t="shared" si="49"/>
        <v>2.3100000000000005</v>
      </c>
      <c r="V211" s="196">
        <f>2.4*2.55+2.45*2.85*2+2.555*2.55</f>
        <v>26.600250000000003</v>
      </c>
      <c r="AT211" s="197">
        <f>N211*G211-T211</f>
        <v>4.4819999999999993</v>
      </c>
      <c r="BB211" s="196">
        <f>M211-Q211</f>
        <v>48.875</v>
      </c>
    </row>
    <row r="212" spans="1:54" s="197" customFormat="1" x14ac:dyDescent="0.2">
      <c r="A212" s="186">
        <v>546</v>
      </c>
      <c r="B212" s="171" t="s">
        <v>120</v>
      </c>
      <c r="C212" s="171" t="s">
        <v>113</v>
      </c>
      <c r="D212" s="10" t="s">
        <v>327</v>
      </c>
      <c r="E212" s="193" t="s">
        <v>679</v>
      </c>
      <c r="F212" s="202">
        <v>68</v>
      </c>
      <c r="G212" s="200">
        <f t="shared" si="43"/>
        <v>2.83</v>
      </c>
      <c r="H212" s="203">
        <v>2830</v>
      </c>
      <c r="I212" s="10" t="s">
        <v>656</v>
      </c>
      <c r="J212" s="10" t="s">
        <v>109</v>
      </c>
      <c r="K212" s="10" t="s">
        <v>836</v>
      </c>
      <c r="L212" s="193"/>
      <c r="M212" s="196">
        <v>62.4</v>
      </c>
      <c r="N212" s="196">
        <v>2.4</v>
      </c>
      <c r="O212" s="196">
        <f>(0.325*2+2.25)*3</f>
        <v>8.6999999999999993</v>
      </c>
      <c r="P212" s="196">
        <f>M212-N212-O212-Q212</f>
        <v>37.774999999999999</v>
      </c>
      <c r="Q212" s="196">
        <f>6.5+0.425+6.6</f>
        <v>13.524999999999999</v>
      </c>
      <c r="R212" s="196"/>
      <c r="S212" s="196"/>
      <c r="T212" s="196">
        <f t="shared" si="49"/>
        <v>2.3100000000000005</v>
      </c>
      <c r="U212" s="196"/>
      <c r="V212" s="196">
        <f>2.4*2.55+2.45*2.85*2+2.555*2.55</f>
        <v>26.600250000000003</v>
      </c>
      <c r="W212" s="196"/>
      <c r="X212" s="196"/>
      <c r="Y212" s="171"/>
      <c r="AP212" s="197">
        <f>N212*2.67-T212</f>
        <v>4.097999999999999</v>
      </c>
      <c r="AQ212" s="197">
        <f>O212*2.4-U212</f>
        <v>20.88</v>
      </c>
      <c r="AY212" s="197">
        <f>P212*2.67-V212</f>
        <v>74.258999999999986</v>
      </c>
      <c r="BA212" s="171"/>
      <c r="BB212" s="196">
        <f>M212-Q212</f>
        <v>48.875</v>
      </c>
    </row>
    <row r="213" spans="1:54" s="197" customFormat="1" ht="30" x14ac:dyDescent="0.2">
      <c r="A213" s="186">
        <v>276</v>
      </c>
      <c r="B213" s="171" t="s">
        <v>118</v>
      </c>
      <c r="C213" s="171" t="s">
        <v>112</v>
      </c>
      <c r="D213" s="10" t="s">
        <v>346</v>
      </c>
      <c r="E213" s="193" t="s">
        <v>679</v>
      </c>
      <c r="F213" s="202">
        <v>71.8</v>
      </c>
      <c r="G213" s="202"/>
      <c r="H213" s="203">
        <v>2830</v>
      </c>
      <c r="I213" s="10" t="s">
        <v>656</v>
      </c>
      <c r="J213" s="189" t="s">
        <v>86</v>
      </c>
      <c r="K213" s="10" t="s">
        <v>836</v>
      </c>
      <c r="L213" s="193"/>
      <c r="M213" s="196">
        <v>59.65</v>
      </c>
      <c r="N213" s="196">
        <f>0.75+2.4+0.2+0.6</f>
        <v>3.95</v>
      </c>
      <c r="O213" s="196">
        <f>1.15+2.5+3.15</f>
        <v>6.8</v>
      </c>
      <c r="P213" s="196">
        <f t="shared" ref="P213:P218" si="50">(0.325*2+2.25)*3</f>
        <v>8.6999999999999993</v>
      </c>
      <c r="Q213" s="196">
        <f>M213-N213-O213-P213-R213</f>
        <v>34.325000000000003</v>
      </c>
      <c r="R213" s="196">
        <f>0.455+4.88+0.54</f>
        <v>5.875</v>
      </c>
      <c r="S213" s="196"/>
      <c r="T213" s="196">
        <f t="shared" si="49"/>
        <v>2.3100000000000005</v>
      </c>
      <c r="U213" s="196"/>
      <c r="V213" s="196"/>
      <c r="W213" s="196">
        <f>2.45*2.85*2+3.5*2.55+2.55*2.655</f>
        <v>29.660249999999998</v>
      </c>
      <c r="X213" s="196"/>
      <c r="Y213" s="171"/>
      <c r="BA213" s="171"/>
      <c r="BB213" s="196">
        <f t="shared" ref="BB213:BB218" si="51">M213-R213</f>
        <v>53.774999999999999</v>
      </c>
    </row>
    <row r="214" spans="1:54" s="197" customFormat="1" ht="30" x14ac:dyDescent="0.2">
      <c r="A214" s="171">
        <v>385</v>
      </c>
      <c r="B214" s="171" t="s">
        <v>119</v>
      </c>
      <c r="C214" s="171" t="s">
        <v>112</v>
      </c>
      <c r="D214" s="10" t="s">
        <v>348</v>
      </c>
      <c r="E214" s="193" t="s">
        <v>861</v>
      </c>
      <c r="F214" s="194">
        <v>71.8</v>
      </c>
      <c r="G214" s="194"/>
      <c r="H214" s="208">
        <v>2830</v>
      </c>
      <c r="I214" s="10" t="s">
        <v>862</v>
      </c>
      <c r="J214" s="189" t="s">
        <v>86</v>
      </c>
      <c r="K214" s="10" t="s">
        <v>863</v>
      </c>
      <c r="L214" s="193"/>
      <c r="M214" s="196">
        <v>59.65</v>
      </c>
      <c r="N214" s="196">
        <f>0.75+2.4+0.2+0.6</f>
        <v>3.95</v>
      </c>
      <c r="O214" s="196">
        <f>1.15+2.5+3.15</f>
        <v>6.8</v>
      </c>
      <c r="P214" s="196">
        <f t="shared" si="50"/>
        <v>8.6999999999999993</v>
      </c>
      <c r="Q214" s="196">
        <f>M214-N214-O214-P214-R214</f>
        <v>34.325000000000003</v>
      </c>
      <c r="R214" s="196">
        <f>0.455+4.88+0.54</f>
        <v>5.875</v>
      </c>
      <c r="S214" s="196"/>
      <c r="T214" s="196">
        <f t="shared" si="49"/>
        <v>2.3100000000000005</v>
      </c>
      <c r="U214" s="196"/>
      <c r="V214" s="196"/>
      <c r="W214" s="196">
        <f>2.45*2.85*2+3.5*2.55+2.55*2.655</f>
        <v>29.660249999999998</v>
      </c>
      <c r="X214" s="196"/>
      <c r="Y214" s="171"/>
      <c r="AM214" s="197">
        <f>N214*G214-T214</f>
        <v>-2.3100000000000005</v>
      </c>
      <c r="AT214" s="197">
        <f>O214*G214-U214</f>
        <v>0</v>
      </c>
      <c r="BA214" s="171"/>
      <c r="BB214" s="196">
        <f t="shared" si="51"/>
        <v>53.774999999999999</v>
      </c>
    </row>
    <row r="215" spans="1:54" s="197" customFormat="1" ht="30" x14ac:dyDescent="0.2">
      <c r="A215" s="186">
        <v>504</v>
      </c>
      <c r="B215" s="171" t="s">
        <v>120</v>
      </c>
      <c r="C215" s="171" t="s">
        <v>112</v>
      </c>
      <c r="D215" s="10" t="s">
        <v>345</v>
      </c>
      <c r="E215" s="193" t="s">
        <v>679</v>
      </c>
      <c r="F215" s="202">
        <v>71.75</v>
      </c>
      <c r="G215" s="202"/>
      <c r="H215" s="203">
        <v>2830</v>
      </c>
      <c r="I215" s="10" t="s">
        <v>656</v>
      </c>
      <c r="J215" s="189" t="s">
        <v>86</v>
      </c>
      <c r="K215" s="10" t="s">
        <v>836</v>
      </c>
      <c r="L215" s="212"/>
      <c r="M215" s="196">
        <v>59.65</v>
      </c>
      <c r="N215" s="196">
        <f>0.75+2.4+0.2+0.6</f>
        <v>3.95</v>
      </c>
      <c r="O215" s="196">
        <f>1.15+2.5+3.15</f>
        <v>6.8</v>
      </c>
      <c r="P215" s="196">
        <f t="shared" si="50"/>
        <v>8.6999999999999993</v>
      </c>
      <c r="Q215" s="196">
        <f>M215-N215-O215-P215-R215</f>
        <v>34.325000000000003</v>
      </c>
      <c r="R215" s="196">
        <f>0.455+4.88+0.54</f>
        <v>5.875</v>
      </c>
      <c r="S215" s="196"/>
      <c r="T215" s="196">
        <f t="shared" si="49"/>
        <v>2.3100000000000005</v>
      </c>
      <c r="U215" s="196"/>
      <c r="V215" s="196"/>
      <c r="W215" s="196">
        <f>2.45*2.85*2+3.5*2.55+2.55*2.655</f>
        <v>29.660249999999998</v>
      </c>
      <c r="X215" s="196"/>
      <c r="Y215" s="171"/>
      <c r="AM215" s="197">
        <f>N215*G215-T215</f>
        <v>-2.3100000000000005</v>
      </c>
      <c r="AP215" s="197">
        <f>O215*G215-U215</f>
        <v>0</v>
      </c>
      <c r="BA215" s="171"/>
      <c r="BB215" s="196">
        <f t="shared" si="51"/>
        <v>53.774999999999999</v>
      </c>
    </row>
    <row r="216" spans="1:54" s="197" customFormat="1" ht="30" x14ac:dyDescent="0.2">
      <c r="A216" s="186">
        <v>354</v>
      </c>
      <c r="B216" s="171" t="s">
        <v>118</v>
      </c>
      <c r="C216" s="171" t="s">
        <v>114</v>
      </c>
      <c r="D216" s="10" t="s">
        <v>347</v>
      </c>
      <c r="E216" s="193" t="s">
        <v>861</v>
      </c>
      <c r="F216" s="194">
        <v>71.8</v>
      </c>
      <c r="G216" s="194"/>
      <c r="H216" s="208">
        <v>2830</v>
      </c>
      <c r="I216" s="10" t="s">
        <v>862</v>
      </c>
      <c r="J216" s="189" t="s">
        <v>86</v>
      </c>
      <c r="K216" s="10" t="s">
        <v>863</v>
      </c>
      <c r="L216" s="193"/>
      <c r="M216" s="196">
        <v>60.8</v>
      </c>
      <c r="N216" s="196">
        <f>0.8+2.5+0.6</f>
        <v>3.9</v>
      </c>
      <c r="O216" s="196">
        <f>2.5+3.15+1.1</f>
        <v>6.75</v>
      </c>
      <c r="P216" s="196">
        <f t="shared" si="50"/>
        <v>8.6999999999999993</v>
      </c>
      <c r="Q216" s="196">
        <f>M216-R216-P216-O216-N216</f>
        <v>35.35</v>
      </c>
      <c r="R216" s="196">
        <f>0.55+0.55+0.1+4.9</f>
        <v>6.1000000000000005</v>
      </c>
      <c r="S216" s="196"/>
      <c r="T216" s="196">
        <f t="shared" si="49"/>
        <v>2.3100000000000005</v>
      </c>
      <c r="U216" s="196"/>
      <c r="V216" s="196"/>
      <c r="W216" s="196">
        <f>2.45*2.85*2+2.55*2.655+3.5*2.55</f>
        <v>29.660249999999998</v>
      </c>
      <c r="X216" s="196"/>
      <c r="Y216" s="171"/>
      <c r="AQ216" s="197">
        <f>N216*G216-T216</f>
        <v>-2.3100000000000005</v>
      </c>
      <c r="BA216" s="171"/>
      <c r="BB216" s="196">
        <f t="shared" si="51"/>
        <v>54.699999999999996</v>
      </c>
    </row>
    <row r="217" spans="1:54" s="197" customFormat="1" ht="30" x14ac:dyDescent="0.2">
      <c r="A217" s="186">
        <v>464</v>
      </c>
      <c r="B217" s="171" t="s">
        <v>119</v>
      </c>
      <c r="C217" s="171" t="s">
        <v>114</v>
      </c>
      <c r="D217" s="10" t="s">
        <v>349</v>
      </c>
      <c r="E217" s="193" t="s">
        <v>679</v>
      </c>
      <c r="F217" s="202">
        <v>71.8</v>
      </c>
      <c r="G217" s="202"/>
      <c r="H217" s="203">
        <v>2830</v>
      </c>
      <c r="I217" s="10" t="s">
        <v>656</v>
      </c>
      <c r="J217" s="189" t="s">
        <v>86</v>
      </c>
      <c r="K217" s="10" t="s">
        <v>836</v>
      </c>
      <c r="L217" s="193"/>
      <c r="M217" s="196">
        <v>60.8</v>
      </c>
      <c r="N217" s="196">
        <f>0.8+2.5+0.6</f>
        <v>3.9</v>
      </c>
      <c r="O217" s="196">
        <f>2.5+3.15+1.1</f>
        <v>6.75</v>
      </c>
      <c r="P217" s="196">
        <f t="shared" si="50"/>
        <v>8.6999999999999993</v>
      </c>
      <c r="Q217" s="196">
        <f>M217-R217-P217-O217-N217</f>
        <v>35.35</v>
      </c>
      <c r="R217" s="196">
        <f>0.55+0.55+0.1+4.9</f>
        <v>6.1000000000000005</v>
      </c>
      <c r="S217" s="196"/>
      <c r="T217" s="196">
        <f t="shared" si="49"/>
        <v>2.3100000000000005</v>
      </c>
      <c r="U217" s="196"/>
      <c r="V217" s="196"/>
      <c r="W217" s="196">
        <f>2.45*2.85*2+2.55*2.655+3.5*2.55</f>
        <v>29.660249999999998</v>
      </c>
      <c r="X217" s="196"/>
      <c r="Y217" s="171"/>
      <c r="BA217" s="171"/>
      <c r="BB217" s="196">
        <f t="shared" si="51"/>
        <v>54.699999999999996</v>
      </c>
    </row>
    <row r="218" spans="1:54" s="197" customFormat="1" ht="30" x14ac:dyDescent="0.2">
      <c r="A218" s="186">
        <v>582</v>
      </c>
      <c r="B218" s="171" t="s">
        <v>120</v>
      </c>
      <c r="C218" s="171" t="s">
        <v>114</v>
      </c>
      <c r="D218" s="10" t="s">
        <v>350</v>
      </c>
      <c r="E218" s="193" t="s">
        <v>679</v>
      </c>
      <c r="F218" s="202">
        <v>71.8</v>
      </c>
      <c r="G218" s="202"/>
      <c r="H218" s="203">
        <v>2830</v>
      </c>
      <c r="I218" s="10" t="s">
        <v>656</v>
      </c>
      <c r="J218" s="189" t="s">
        <v>86</v>
      </c>
      <c r="K218" s="10" t="s">
        <v>836</v>
      </c>
      <c r="L218" s="193"/>
      <c r="M218" s="196">
        <v>60.8</v>
      </c>
      <c r="N218" s="196">
        <f>0.8+2.5+0.6</f>
        <v>3.9</v>
      </c>
      <c r="O218" s="196">
        <f>2.5+3.15+1.1</f>
        <v>6.75</v>
      </c>
      <c r="P218" s="196">
        <f t="shared" si="50"/>
        <v>8.6999999999999993</v>
      </c>
      <c r="Q218" s="196">
        <f>M218-R218-P218-O218-N218</f>
        <v>35.35</v>
      </c>
      <c r="R218" s="196">
        <f>0.55+0.55+0.1+4.9</f>
        <v>6.1000000000000005</v>
      </c>
      <c r="S218" s="196"/>
      <c r="T218" s="196">
        <f t="shared" si="49"/>
        <v>2.3100000000000005</v>
      </c>
      <c r="U218" s="196"/>
      <c r="V218" s="196"/>
      <c r="W218" s="196">
        <f>2.45*2.85*2+2.55*2.655+3.5*2.55</f>
        <v>29.660249999999998</v>
      </c>
      <c r="X218" s="196"/>
      <c r="Y218" s="171"/>
      <c r="AP218" s="197">
        <f>N218*2.67-T218</f>
        <v>8.1029999999999998</v>
      </c>
      <c r="AQ218" s="197">
        <f>O218*2.4-U218</f>
        <v>16.2</v>
      </c>
      <c r="AY218" s="197">
        <f>P218*2.67-V218</f>
        <v>23.228999999999999</v>
      </c>
      <c r="BA218" s="171"/>
      <c r="BB218" s="196">
        <f t="shared" si="51"/>
        <v>54.699999999999996</v>
      </c>
    </row>
    <row r="219" spans="1:54" s="197" customFormat="1" ht="60" x14ac:dyDescent="0.2">
      <c r="A219" s="171">
        <v>286</v>
      </c>
      <c r="B219" s="171" t="s">
        <v>118</v>
      </c>
      <c r="C219" s="171" t="s">
        <v>112</v>
      </c>
      <c r="D219" s="216" t="s">
        <v>482</v>
      </c>
      <c r="E219" s="193" t="s">
        <v>847</v>
      </c>
      <c r="F219" s="202">
        <v>71.400000000000006</v>
      </c>
      <c r="G219" s="200">
        <f t="shared" ref="G219:G232" si="52">H219/1000</f>
        <v>2.83</v>
      </c>
      <c r="H219" s="203">
        <v>2830</v>
      </c>
      <c r="I219" s="10" t="s">
        <v>656</v>
      </c>
      <c r="J219" s="10" t="s">
        <v>316</v>
      </c>
      <c r="K219" s="10" t="s">
        <v>836</v>
      </c>
      <c r="L219" s="193"/>
      <c r="M219" s="196">
        <f t="shared" ref="M219:M226" si="53">99.7+1.26*5-9.45-6.5</f>
        <v>90.05</v>
      </c>
      <c r="N219" s="196">
        <f t="shared" ref="N219:N226" si="54">1.6+1.26*5+0.2+0.6</f>
        <v>8.6999999999999993</v>
      </c>
      <c r="O219" s="196">
        <f t="shared" ref="O219:O226" si="55">(0.325*2+2.25)*6</f>
        <v>17.399999999999999</v>
      </c>
      <c r="P219" s="196">
        <f t="shared" ref="P219:P226" si="56">M219-R219-O219-N219-Q219</f>
        <v>53.739999999999981</v>
      </c>
      <c r="Q219" s="196">
        <f t="shared" ref="Q219:Q226" si="57">3.2</f>
        <v>3.2</v>
      </c>
      <c r="R219" s="196">
        <f t="shared" ref="R219:R226" si="58">0.45+6.56</f>
        <v>7.01</v>
      </c>
      <c r="S219" s="196"/>
      <c r="T219" s="196"/>
      <c r="U219" s="196"/>
      <c r="V219" s="196">
        <f t="shared" ref="V219:V226" si="59">2.45*2.85+2.45*2.85</f>
        <v>13.965000000000002</v>
      </c>
      <c r="W219" s="196"/>
      <c r="X219" s="196"/>
      <c r="Y219" s="171"/>
      <c r="AM219" s="197">
        <f>N219*G219-T219</f>
        <v>24.620999999999999</v>
      </c>
      <c r="AP219" s="197">
        <f>O219*G219-U219</f>
        <v>49.241999999999997</v>
      </c>
      <c r="BA219" s="171"/>
      <c r="BB219" s="196">
        <f t="shared" ref="BB219:BB226" si="60">N219+O219+P219</f>
        <v>79.839999999999975</v>
      </c>
    </row>
    <row r="220" spans="1:54" s="197" customFormat="1" ht="60" x14ac:dyDescent="0.2">
      <c r="A220" s="171">
        <v>325</v>
      </c>
      <c r="B220" s="171" t="s">
        <v>118</v>
      </c>
      <c r="C220" s="171" t="s">
        <v>113</v>
      </c>
      <c r="D220" s="216" t="s">
        <v>478</v>
      </c>
      <c r="E220" s="193" t="s">
        <v>847</v>
      </c>
      <c r="F220" s="202">
        <v>74</v>
      </c>
      <c r="G220" s="200">
        <f t="shared" si="52"/>
        <v>2.83</v>
      </c>
      <c r="H220" s="203">
        <v>2830</v>
      </c>
      <c r="I220" s="10" t="s">
        <v>656</v>
      </c>
      <c r="J220" s="10" t="s">
        <v>316</v>
      </c>
      <c r="K220" s="10" t="s">
        <v>836</v>
      </c>
      <c r="L220" s="212"/>
      <c r="M220" s="196">
        <f t="shared" si="53"/>
        <v>90.05</v>
      </c>
      <c r="N220" s="196">
        <f t="shared" si="54"/>
        <v>8.6999999999999993</v>
      </c>
      <c r="O220" s="196">
        <f t="shared" si="55"/>
        <v>17.399999999999999</v>
      </c>
      <c r="P220" s="196">
        <f t="shared" si="56"/>
        <v>53.739999999999981</v>
      </c>
      <c r="Q220" s="196">
        <f t="shared" si="57"/>
        <v>3.2</v>
      </c>
      <c r="R220" s="196">
        <f t="shared" si="58"/>
        <v>7.01</v>
      </c>
      <c r="S220" s="196"/>
      <c r="T220" s="196"/>
      <c r="U220" s="196"/>
      <c r="V220" s="196">
        <f t="shared" si="59"/>
        <v>13.965000000000002</v>
      </c>
      <c r="W220" s="196"/>
      <c r="X220" s="196"/>
      <c r="Y220" s="171"/>
      <c r="AG220" s="197">
        <f>N220*G220-T220</f>
        <v>24.620999999999999</v>
      </c>
      <c r="AQ220" s="197">
        <f>O220*G220-U220</f>
        <v>49.241999999999997</v>
      </c>
      <c r="BA220" s="171"/>
      <c r="BB220" s="196">
        <f t="shared" si="60"/>
        <v>79.839999999999975</v>
      </c>
    </row>
    <row r="221" spans="1:54" s="197" customFormat="1" ht="60" x14ac:dyDescent="0.2">
      <c r="A221" s="186">
        <v>395</v>
      </c>
      <c r="B221" s="171" t="s">
        <v>119</v>
      </c>
      <c r="C221" s="171" t="s">
        <v>112</v>
      </c>
      <c r="D221" s="216" t="s">
        <v>483</v>
      </c>
      <c r="E221" s="193" t="s">
        <v>875</v>
      </c>
      <c r="F221" s="194">
        <v>71.400000000000006</v>
      </c>
      <c r="G221" s="200">
        <f t="shared" si="52"/>
        <v>2.83</v>
      </c>
      <c r="H221" s="208">
        <v>2830</v>
      </c>
      <c r="I221" s="10" t="s">
        <v>862</v>
      </c>
      <c r="J221" s="10" t="s">
        <v>316</v>
      </c>
      <c r="K221" s="10" t="s">
        <v>863</v>
      </c>
      <c r="L221" s="193"/>
      <c r="M221" s="196">
        <f t="shared" si="53"/>
        <v>90.05</v>
      </c>
      <c r="N221" s="196">
        <f t="shared" si="54"/>
        <v>8.6999999999999993</v>
      </c>
      <c r="O221" s="196">
        <f t="shared" si="55"/>
        <v>17.399999999999999</v>
      </c>
      <c r="P221" s="196">
        <f t="shared" si="56"/>
        <v>53.739999999999981</v>
      </c>
      <c r="Q221" s="196">
        <f t="shared" si="57"/>
        <v>3.2</v>
      </c>
      <c r="R221" s="196">
        <f t="shared" si="58"/>
        <v>7.01</v>
      </c>
      <c r="S221" s="196"/>
      <c r="T221" s="196"/>
      <c r="U221" s="196"/>
      <c r="V221" s="196">
        <f t="shared" si="59"/>
        <v>13.965000000000002</v>
      </c>
      <c r="W221" s="196"/>
      <c r="X221" s="196"/>
      <c r="Y221" s="171"/>
      <c r="AM221" s="197">
        <f>N221*G221-T221</f>
        <v>24.620999999999999</v>
      </c>
      <c r="AP221" s="197">
        <f>O221*G221-U221</f>
        <v>49.241999999999997</v>
      </c>
      <c r="BA221" s="171"/>
      <c r="BB221" s="196">
        <f t="shared" si="60"/>
        <v>79.839999999999975</v>
      </c>
    </row>
    <row r="222" spans="1:54" s="197" customFormat="1" ht="60" x14ac:dyDescent="0.2">
      <c r="A222" s="186">
        <v>435</v>
      </c>
      <c r="B222" s="171" t="s">
        <v>119</v>
      </c>
      <c r="C222" s="171" t="s">
        <v>113</v>
      </c>
      <c r="D222" s="216" t="s">
        <v>477</v>
      </c>
      <c r="E222" s="193" t="s">
        <v>847</v>
      </c>
      <c r="F222" s="200">
        <v>74</v>
      </c>
      <c r="G222" s="200">
        <f t="shared" si="52"/>
        <v>2.83</v>
      </c>
      <c r="H222" s="203">
        <v>2830</v>
      </c>
      <c r="I222" s="10" t="s">
        <v>656</v>
      </c>
      <c r="J222" s="10" t="s">
        <v>316</v>
      </c>
      <c r="K222" s="10" t="s">
        <v>836</v>
      </c>
      <c r="L222" s="193"/>
      <c r="M222" s="196">
        <f t="shared" si="53"/>
        <v>90.05</v>
      </c>
      <c r="N222" s="196">
        <f t="shared" si="54"/>
        <v>8.6999999999999993</v>
      </c>
      <c r="O222" s="196">
        <f t="shared" si="55"/>
        <v>17.399999999999999</v>
      </c>
      <c r="P222" s="196">
        <f t="shared" si="56"/>
        <v>53.739999999999981</v>
      </c>
      <c r="Q222" s="196">
        <f t="shared" si="57"/>
        <v>3.2</v>
      </c>
      <c r="R222" s="196">
        <f t="shared" si="58"/>
        <v>7.01</v>
      </c>
      <c r="S222" s="196"/>
      <c r="T222" s="196"/>
      <c r="U222" s="196"/>
      <c r="V222" s="196">
        <f t="shared" si="59"/>
        <v>13.965000000000002</v>
      </c>
      <c r="W222" s="196"/>
      <c r="X222" s="196"/>
      <c r="Y222" s="171"/>
      <c r="BA222" s="171"/>
      <c r="BB222" s="196">
        <f t="shared" si="60"/>
        <v>79.839999999999975</v>
      </c>
    </row>
    <row r="223" spans="1:54" s="197" customFormat="1" ht="30" x14ac:dyDescent="0.2">
      <c r="A223" s="186">
        <v>474</v>
      </c>
      <c r="B223" s="171" t="s">
        <v>119</v>
      </c>
      <c r="C223" s="171" t="s">
        <v>114</v>
      </c>
      <c r="D223" s="10" t="s">
        <v>899</v>
      </c>
      <c r="E223" s="193" t="s">
        <v>847</v>
      </c>
      <c r="F223" s="202">
        <v>71.45</v>
      </c>
      <c r="G223" s="200">
        <f t="shared" si="52"/>
        <v>2.83</v>
      </c>
      <c r="H223" s="203">
        <v>2830</v>
      </c>
      <c r="I223" s="10" t="s">
        <v>656</v>
      </c>
      <c r="J223" s="10" t="s">
        <v>316</v>
      </c>
      <c r="K223" s="10" t="s">
        <v>836</v>
      </c>
      <c r="L223" s="193"/>
      <c r="M223" s="196">
        <f t="shared" si="53"/>
        <v>90.05</v>
      </c>
      <c r="N223" s="196">
        <f t="shared" si="54"/>
        <v>8.6999999999999993</v>
      </c>
      <c r="O223" s="196">
        <f t="shared" si="55"/>
        <v>17.399999999999999</v>
      </c>
      <c r="P223" s="196">
        <f t="shared" si="56"/>
        <v>53.739999999999981</v>
      </c>
      <c r="Q223" s="196">
        <f t="shared" si="57"/>
        <v>3.2</v>
      </c>
      <c r="R223" s="196">
        <f t="shared" si="58"/>
        <v>7.01</v>
      </c>
      <c r="S223" s="196"/>
      <c r="T223" s="196"/>
      <c r="U223" s="196"/>
      <c r="V223" s="196">
        <f t="shared" si="59"/>
        <v>13.965000000000002</v>
      </c>
      <c r="W223" s="196"/>
      <c r="X223" s="196"/>
      <c r="Y223" s="171"/>
      <c r="AP223" s="197">
        <f>N223*G223-T223</f>
        <v>24.620999999999999</v>
      </c>
      <c r="BA223" s="171"/>
      <c r="BB223" s="196">
        <f t="shared" si="60"/>
        <v>79.839999999999975</v>
      </c>
    </row>
    <row r="224" spans="1:54" s="197" customFormat="1" ht="60" x14ac:dyDescent="0.2">
      <c r="A224" s="171">
        <v>514</v>
      </c>
      <c r="B224" s="171" t="s">
        <v>120</v>
      </c>
      <c r="C224" s="171" t="s">
        <v>112</v>
      </c>
      <c r="D224" s="216" t="s">
        <v>484</v>
      </c>
      <c r="E224" s="193" t="s">
        <v>847</v>
      </c>
      <c r="F224" s="202">
        <v>71.400000000000006</v>
      </c>
      <c r="G224" s="200">
        <f t="shared" si="52"/>
        <v>2.83</v>
      </c>
      <c r="H224" s="203">
        <v>2830</v>
      </c>
      <c r="I224" s="10" t="s">
        <v>656</v>
      </c>
      <c r="J224" s="10" t="s">
        <v>316</v>
      </c>
      <c r="K224" s="10" t="s">
        <v>836</v>
      </c>
      <c r="L224" s="212"/>
      <c r="M224" s="196">
        <f t="shared" si="53"/>
        <v>90.05</v>
      </c>
      <c r="N224" s="196">
        <f t="shared" si="54"/>
        <v>8.6999999999999993</v>
      </c>
      <c r="O224" s="196">
        <f t="shared" si="55"/>
        <v>17.399999999999999</v>
      </c>
      <c r="P224" s="196">
        <f t="shared" si="56"/>
        <v>53.739999999999981</v>
      </c>
      <c r="Q224" s="196">
        <f t="shared" si="57"/>
        <v>3.2</v>
      </c>
      <c r="R224" s="196">
        <f t="shared" si="58"/>
        <v>7.01</v>
      </c>
      <c r="S224" s="196"/>
      <c r="T224" s="196"/>
      <c r="U224" s="196"/>
      <c r="V224" s="196">
        <f t="shared" si="59"/>
        <v>13.965000000000002</v>
      </c>
      <c r="W224" s="196"/>
      <c r="X224" s="196"/>
      <c r="Y224" s="171"/>
      <c r="AP224" s="197">
        <f>N224*G224-T224</f>
        <v>24.620999999999999</v>
      </c>
      <c r="AQ224" s="197">
        <f>O224*G224-U224</f>
        <v>49.241999999999997</v>
      </c>
      <c r="BA224" s="171"/>
      <c r="BB224" s="196">
        <f t="shared" si="60"/>
        <v>79.839999999999975</v>
      </c>
    </row>
    <row r="225" spans="1:54" s="197" customFormat="1" ht="60" x14ac:dyDescent="0.2">
      <c r="A225" s="171">
        <v>553</v>
      </c>
      <c r="B225" s="171" t="s">
        <v>120</v>
      </c>
      <c r="C225" s="171" t="s">
        <v>113</v>
      </c>
      <c r="D225" s="216" t="s">
        <v>481</v>
      </c>
      <c r="E225" s="193" t="s">
        <v>847</v>
      </c>
      <c r="F225" s="202">
        <v>74</v>
      </c>
      <c r="G225" s="200">
        <f t="shared" si="52"/>
        <v>2.83</v>
      </c>
      <c r="H225" s="203">
        <v>2830</v>
      </c>
      <c r="I225" s="10" t="s">
        <v>656</v>
      </c>
      <c r="J225" s="10" t="s">
        <v>316</v>
      </c>
      <c r="K225" s="10" t="s">
        <v>836</v>
      </c>
      <c r="L225" s="193"/>
      <c r="M225" s="196">
        <f t="shared" si="53"/>
        <v>90.05</v>
      </c>
      <c r="N225" s="196">
        <f t="shared" si="54"/>
        <v>8.6999999999999993</v>
      </c>
      <c r="O225" s="196">
        <f t="shared" si="55"/>
        <v>17.399999999999999</v>
      </c>
      <c r="P225" s="196">
        <f t="shared" si="56"/>
        <v>53.739999999999981</v>
      </c>
      <c r="Q225" s="196">
        <f t="shared" si="57"/>
        <v>3.2</v>
      </c>
      <c r="R225" s="196">
        <f t="shared" si="58"/>
        <v>7.01</v>
      </c>
      <c r="S225" s="196"/>
      <c r="T225" s="196"/>
      <c r="U225" s="196"/>
      <c r="V225" s="196">
        <f t="shared" si="59"/>
        <v>13.965000000000002</v>
      </c>
      <c r="W225" s="196"/>
      <c r="X225" s="196"/>
      <c r="Y225" s="171"/>
      <c r="AP225" s="197">
        <f>N225*2.67-T225</f>
        <v>23.228999999999999</v>
      </c>
      <c r="AQ225" s="197">
        <f>O225*2.4-U225</f>
        <v>41.76</v>
      </c>
      <c r="BA225" s="171"/>
      <c r="BB225" s="196">
        <f t="shared" si="60"/>
        <v>79.839999999999975</v>
      </c>
    </row>
    <row r="226" spans="1:54" s="197" customFormat="1" ht="30" x14ac:dyDescent="0.2">
      <c r="A226" s="171">
        <v>592</v>
      </c>
      <c r="B226" s="171" t="s">
        <v>120</v>
      </c>
      <c r="C226" s="171" t="s">
        <v>114</v>
      </c>
      <c r="D226" s="10" t="s">
        <v>926</v>
      </c>
      <c r="E226" s="193" t="s">
        <v>847</v>
      </c>
      <c r="F226" s="202">
        <v>71.45</v>
      </c>
      <c r="G226" s="200">
        <f t="shared" si="52"/>
        <v>2.83</v>
      </c>
      <c r="H226" s="203">
        <v>2830</v>
      </c>
      <c r="I226" s="10" t="s">
        <v>656</v>
      </c>
      <c r="J226" s="10" t="s">
        <v>316</v>
      </c>
      <c r="K226" s="10" t="s">
        <v>836</v>
      </c>
      <c r="L226" s="193"/>
      <c r="M226" s="196">
        <f t="shared" si="53"/>
        <v>90.05</v>
      </c>
      <c r="N226" s="196">
        <f t="shared" si="54"/>
        <v>8.6999999999999993</v>
      </c>
      <c r="O226" s="196">
        <f t="shared" si="55"/>
        <v>17.399999999999999</v>
      </c>
      <c r="P226" s="196">
        <f t="shared" si="56"/>
        <v>53.739999999999981</v>
      </c>
      <c r="Q226" s="196">
        <f t="shared" si="57"/>
        <v>3.2</v>
      </c>
      <c r="R226" s="196">
        <f t="shared" si="58"/>
        <v>7.01</v>
      </c>
      <c r="S226" s="196"/>
      <c r="T226" s="196"/>
      <c r="U226" s="196"/>
      <c r="V226" s="196">
        <f t="shared" si="59"/>
        <v>13.965000000000002</v>
      </c>
      <c r="W226" s="196"/>
      <c r="X226" s="196"/>
      <c r="Y226" s="171"/>
      <c r="AO226" s="171"/>
      <c r="BA226" s="171"/>
      <c r="BB226" s="196">
        <f t="shared" si="60"/>
        <v>79.839999999999975</v>
      </c>
    </row>
    <row r="227" spans="1:54" s="197" customFormat="1" x14ac:dyDescent="0.2">
      <c r="A227" s="171">
        <v>487</v>
      </c>
      <c r="B227" s="171" t="s">
        <v>119</v>
      </c>
      <c r="C227" s="171" t="s">
        <v>114</v>
      </c>
      <c r="D227" s="10" t="s">
        <v>1411</v>
      </c>
      <c r="E227" s="193" t="s">
        <v>1412</v>
      </c>
      <c r="F227" s="204">
        <v>41.7</v>
      </c>
      <c r="G227" s="200" t="e">
        <f t="shared" si="52"/>
        <v>#VALUE!</v>
      </c>
      <c r="H227" s="211" t="s">
        <v>761</v>
      </c>
      <c r="I227" s="207" t="s">
        <v>226</v>
      </c>
      <c r="J227" s="10" t="s">
        <v>46</v>
      </c>
      <c r="K227" s="10" t="s">
        <v>1366</v>
      </c>
      <c r="L227" s="193"/>
      <c r="M227" s="196">
        <f>14.9*2+9.15*2+9.2-2.1*2</f>
        <v>53.099999999999994</v>
      </c>
      <c r="N227" s="196">
        <f>M227-O227-P227</f>
        <v>43.899999999999991</v>
      </c>
      <c r="O227" s="196">
        <v>9.1999999999999993</v>
      </c>
      <c r="P227" s="196"/>
      <c r="Q227" s="196"/>
      <c r="R227" s="196"/>
      <c r="S227" s="196"/>
      <c r="T227" s="196">
        <f>(3.26+0.19+3.26)*2.55</f>
        <v>17.110499999999995</v>
      </c>
      <c r="U227" s="196">
        <f>1.05*2.4*2</f>
        <v>5.04</v>
      </c>
      <c r="V227" s="196"/>
      <c r="W227" s="196"/>
      <c r="X227" s="196"/>
      <c r="Y227" s="171"/>
      <c r="AM227" s="197" t="e">
        <f>N227*G227-T227</f>
        <v>#VALUE!</v>
      </c>
      <c r="AP227" s="197" t="e">
        <f>O227*G227-U227</f>
        <v>#VALUE!</v>
      </c>
      <c r="BA227" s="171"/>
      <c r="BB227" s="196">
        <f>N227</f>
        <v>43.899999999999991</v>
      </c>
    </row>
    <row r="228" spans="1:54" s="197" customFormat="1" x14ac:dyDescent="0.2">
      <c r="A228" s="186">
        <v>369</v>
      </c>
      <c r="B228" s="171" t="s">
        <v>118</v>
      </c>
      <c r="C228" s="171" t="s">
        <v>114</v>
      </c>
      <c r="D228" s="10" t="s">
        <v>1372</v>
      </c>
      <c r="E228" s="193" t="s">
        <v>1373</v>
      </c>
      <c r="F228" s="194">
        <v>41.7</v>
      </c>
      <c r="G228" s="200">
        <f t="shared" si="52"/>
        <v>2.4002669999999999</v>
      </c>
      <c r="H228" s="208">
        <v>2400.2669999999998</v>
      </c>
      <c r="I228" s="207" t="s">
        <v>226</v>
      </c>
      <c r="J228" s="10" t="s">
        <v>317</v>
      </c>
      <c r="K228" s="10" t="s">
        <v>1349</v>
      </c>
      <c r="L228" s="193"/>
      <c r="M228" s="196">
        <f>14.9*2+9.25*2+9.2-2.1*2</f>
        <v>53.3</v>
      </c>
      <c r="N228" s="196">
        <f>M228-O228-P228</f>
        <v>37.799999999999997</v>
      </c>
      <c r="O228" s="196">
        <v>9.1999999999999993</v>
      </c>
      <c r="P228" s="196">
        <v>6.3</v>
      </c>
      <c r="Q228" s="196"/>
      <c r="R228" s="196"/>
      <c r="S228" s="196"/>
      <c r="T228" s="196">
        <f>(3.26+0.19+3.26)*2.55</f>
        <v>17.110499999999995</v>
      </c>
      <c r="U228" s="196">
        <f>1.05*2.4*2</f>
        <v>5.04</v>
      </c>
      <c r="V228" s="196"/>
      <c r="W228" s="196"/>
      <c r="X228" s="196"/>
      <c r="Y228" s="171"/>
      <c r="AP228" s="197">
        <f>N228*G228-T228</f>
        <v>73.619592600000004</v>
      </c>
      <c r="BA228" s="171"/>
      <c r="BB228" s="196">
        <f>N228+P228</f>
        <v>44.099999999999994</v>
      </c>
    </row>
    <row r="229" spans="1:54" s="197" customFormat="1" x14ac:dyDescent="0.2">
      <c r="A229" s="186">
        <v>486</v>
      </c>
      <c r="B229" s="171" t="s">
        <v>119</v>
      </c>
      <c r="C229" s="171" t="s">
        <v>114</v>
      </c>
      <c r="D229" s="10" t="s">
        <v>1409</v>
      </c>
      <c r="E229" s="193" t="s">
        <v>1344</v>
      </c>
      <c r="F229" s="202">
        <v>41.7</v>
      </c>
      <c r="G229" s="200">
        <f t="shared" si="52"/>
        <v>2.4002669999999999</v>
      </c>
      <c r="H229" s="203">
        <v>2400.2669999999998</v>
      </c>
      <c r="I229" s="207" t="s">
        <v>226</v>
      </c>
      <c r="J229" s="10" t="s">
        <v>317</v>
      </c>
      <c r="K229" s="10" t="s">
        <v>1349</v>
      </c>
      <c r="L229" s="193"/>
      <c r="M229" s="196">
        <f>14.9*2+9.25*2+9.2-2.1*2</f>
        <v>53.3</v>
      </c>
      <c r="N229" s="196">
        <f>M229-O229-P229</f>
        <v>37.799999999999997</v>
      </c>
      <c r="O229" s="196">
        <v>9.1999999999999993</v>
      </c>
      <c r="P229" s="196">
        <v>6.3</v>
      </c>
      <c r="Q229" s="196"/>
      <c r="R229" s="196"/>
      <c r="S229" s="196"/>
      <c r="T229" s="196">
        <f>(3.26+0.19+3.26)*2.55</f>
        <v>17.110499999999995</v>
      </c>
      <c r="U229" s="196">
        <f>1.05*2.4*2</f>
        <v>5.04</v>
      </c>
      <c r="V229" s="196"/>
      <c r="W229" s="196"/>
      <c r="X229" s="196"/>
      <c r="Y229" s="171"/>
      <c r="AM229" s="197">
        <f>N229*G229-T229</f>
        <v>73.619592600000004</v>
      </c>
      <c r="AP229" s="197">
        <f>O229*G229-U229</f>
        <v>17.042456399999999</v>
      </c>
      <c r="AR229" s="197">
        <f>P229*G229-V229</f>
        <v>15.121682099999999</v>
      </c>
      <c r="BA229" s="171"/>
      <c r="BB229" s="196">
        <f>N229+P229</f>
        <v>44.099999999999994</v>
      </c>
    </row>
    <row r="230" spans="1:54" s="197" customFormat="1" x14ac:dyDescent="0.2">
      <c r="A230" s="186">
        <v>488</v>
      </c>
      <c r="B230" s="171" t="s">
        <v>119</v>
      </c>
      <c r="C230" s="171" t="s">
        <v>114</v>
      </c>
      <c r="D230" s="10" t="s">
        <v>1413</v>
      </c>
      <c r="E230" s="193" t="s">
        <v>1344</v>
      </c>
      <c r="F230" s="202">
        <v>41.7</v>
      </c>
      <c r="G230" s="200" t="e">
        <f t="shared" si="52"/>
        <v>#VALUE!</v>
      </c>
      <c r="H230" s="211" t="s">
        <v>761</v>
      </c>
      <c r="I230" s="207" t="s">
        <v>226</v>
      </c>
      <c r="J230" s="10" t="s">
        <v>317</v>
      </c>
      <c r="K230" s="10" t="s">
        <v>1349</v>
      </c>
      <c r="L230" s="193"/>
      <c r="M230" s="196">
        <f>14.9*2+9.25*2+9.2-2.1*2</f>
        <v>53.3</v>
      </c>
      <c r="N230" s="196">
        <f>M230-O230-P230</f>
        <v>37.799999999999997</v>
      </c>
      <c r="O230" s="196">
        <v>9.1999999999999993</v>
      </c>
      <c r="P230" s="196">
        <v>6.3</v>
      </c>
      <c r="Q230" s="196"/>
      <c r="R230" s="196"/>
      <c r="S230" s="196"/>
      <c r="T230" s="196">
        <f>(3.26+0.19+3.26)*2.55</f>
        <v>17.110499999999995</v>
      </c>
      <c r="U230" s="196">
        <f>1.05*2.4*2</f>
        <v>5.04</v>
      </c>
      <c r="V230" s="196"/>
      <c r="W230" s="196"/>
      <c r="X230" s="196"/>
      <c r="Y230" s="171"/>
      <c r="AM230" s="197" t="e">
        <f>N230*G230-T230</f>
        <v>#VALUE!</v>
      </c>
      <c r="AP230" s="197" t="e">
        <f>O230*G230-U230</f>
        <v>#VALUE!</v>
      </c>
      <c r="BA230" s="171"/>
      <c r="BB230" s="196">
        <f>N230+P230</f>
        <v>44.099999999999994</v>
      </c>
    </row>
    <row r="231" spans="1:54" s="197" customFormat="1" x14ac:dyDescent="0.2">
      <c r="A231" s="171">
        <v>478</v>
      </c>
      <c r="B231" s="171" t="s">
        <v>119</v>
      </c>
      <c r="C231" s="171" t="s">
        <v>114</v>
      </c>
      <c r="D231" s="10" t="s">
        <v>476</v>
      </c>
      <c r="E231" s="193" t="s">
        <v>929</v>
      </c>
      <c r="F231" s="202">
        <v>5.65</v>
      </c>
      <c r="G231" s="200">
        <f t="shared" si="52"/>
        <v>2.4</v>
      </c>
      <c r="H231" s="203">
        <v>2400</v>
      </c>
      <c r="I231" s="10" t="s">
        <v>930</v>
      </c>
      <c r="J231" s="10" t="s">
        <v>101</v>
      </c>
      <c r="K231" s="10" t="s">
        <v>756</v>
      </c>
      <c r="L231" s="193"/>
      <c r="M231" s="196">
        <f>2.5+2.2*2</f>
        <v>6.9</v>
      </c>
      <c r="N231" s="196">
        <f>2.5+0.65</f>
        <v>3.15</v>
      </c>
      <c r="O231" s="196">
        <f>M231-N231</f>
        <v>3.7500000000000004</v>
      </c>
      <c r="P231" s="196"/>
      <c r="Q231" s="196"/>
      <c r="R231" s="196"/>
      <c r="S231" s="196"/>
      <c r="T231" s="196"/>
      <c r="U231" s="196">
        <f>1.4*2.4</f>
        <v>3.36</v>
      </c>
      <c r="V231" s="196"/>
      <c r="W231" s="196"/>
      <c r="X231" s="196"/>
      <c r="Y231" s="171"/>
      <c r="AM231" s="197">
        <f>N231*G231-T231</f>
        <v>7.56</v>
      </c>
      <c r="AN231" s="197">
        <f>O231*G231-U231</f>
        <v>5.6400000000000006</v>
      </c>
      <c r="AP231" s="197">
        <f>P231*G231-V231</f>
        <v>0</v>
      </c>
      <c r="AQ231" s="197">
        <f>Q231*G231-W231</f>
        <v>0</v>
      </c>
      <c r="AZ231" s="197">
        <f>R231*G231-X231</f>
        <v>0</v>
      </c>
      <c r="BA231" s="171"/>
      <c r="BB231" s="196">
        <f>O231</f>
        <v>3.7500000000000004</v>
      </c>
    </row>
    <row r="232" spans="1:54" s="197" customFormat="1" x14ac:dyDescent="0.2">
      <c r="A232" s="186">
        <v>479</v>
      </c>
      <c r="B232" s="171" t="s">
        <v>119</v>
      </c>
      <c r="C232" s="171" t="s">
        <v>114</v>
      </c>
      <c r="D232" s="10" t="s">
        <v>931</v>
      </c>
      <c r="E232" s="193" t="s">
        <v>787</v>
      </c>
      <c r="F232" s="202">
        <v>8.65</v>
      </c>
      <c r="G232" s="200">
        <f t="shared" si="52"/>
        <v>2.67</v>
      </c>
      <c r="H232" s="203">
        <v>2670</v>
      </c>
      <c r="I232" s="10" t="s">
        <v>930</v>
      </c>
      <c r="J232" s="10" t="s">
        <v>101</v>
      </c>
      <c r="K232" s="10" t="s">
        <v>767</v>
      </c>
      <c r="L232" s="193"/>
      <c r="M232" s="196">
        <f>3.935*2+2.23</f>
        <v>10.1</v>
      </c>
      <c r="N232" s="196">
        <f>3.935</f>
        <v>3.9350000000000001</v>
      </c>
      <c r="O232" s="196">
        <f>M232-N232</f>
        <v>6.1649999999999991</v>
      </c>
      <c r="P232" s="196"/>
      <c r="Q232" s="196"/>
      <c r="R232" s="196"/>
      <c r="S232" s="196"/>
      <c r="T232" s="196"/>
      <c r="U232" s="196">
        <f>2.2*2.52</f>
        <v>5.5440000000000005</v>
      </c>
      <c r="V232" s="196"/>
      <c r="W232" s="196"/>
      <c r="X232" s="196"/>
      <c r="Y232" s="171"/>
      <c r="BA232" s="171"/>
      <c r="BB232" s="196">
        <f>O232</f>
        <v>6.1649999999999991</v>
      </c>
    </row>
    <row r="233" spans="1:54" s="197" customFormat="1" x14ac:dyDescent="0.2">
      <c r="A233" s="186">
        <v>98</v>
      </c>
      <c r="B233" s="171" t="s">
        <v>111</v>
      </c>
      <c r="C233" s="171" t="s">
        <v>114</v>
      </c>
      <c r="D233" s="10" t="s">
        <v>966</v>
      </c>
      <c r="E233" s="193" t="s">
        <v>967</v>
      </c>
      <c r="F233" s="202">
        <v>9.4499999999999993</v>
      </c>
      <c r="G233" s="202"/>
      <c r="H233" s="203">
        <v>2400</v>
      </c>
      <c r="I233" s="10" t="s">
        <v>604</v>
      </c>
      <c r="J233" s="10" t="s">
        <v>273</v>
      </c>
      <c r="K233" s="10" t="s">
        <v>949</v>
      </c>
      <c r="L233" s="193"/>
      <c r="M233" s="196">
        <f>13.3-2.4</f>
        <v>10.9</v>
      </c>
      <c r="N233" s="196">
        <f>2.6+2.2</f>
        <v>4.8000000000000007</v>
      </c>
      <c r="O233" s="196">
        <f>1.2+2.6</f>
        <v>3.8</v>
      </c>
      <c r="P233" s="196">
        <f>0.6+0.4</f>
        <v>1</v>
      </c>
      <c r="Q233" s="196">
        <f>1+0.25</f>
        <v>1.25</v>
      </c>
      <c r="R233" s="196"/>
      <c r="S233" s="196"/>
      <c r="T233" s="196"/>
      <c r="U233" s="196">
        <f>1.1*2.1</f>
        <v>2.3100000000000005</v>
      </c>
      <c r="V233" s="196"/>
      <c r="W233" s="196"/>
      <c r="X233" s="196"/>
      <c r="Y233" s="171"/>
      <c r="AO233" s="171"/>
      <c r="BA233" s="171"/>
      <c r="BB233" s="196">
        <f>N233+O233</f>
        <v>8.6000000000000014</v>
      </c>
    </row>
    <row r="234" spans="1:54" s="197" customFormat="1" x14ac:dyDescent="0.2">
      <c r="A234" s="186">
        <v>65</v>
      </c>
      <c r="B234" s="171" t="s">
        <v>111</v>
      </c>
      <c r="C234" s="171" t="s">
        <v>113</v>
      </c>
      <c r="D234" s="10" t="s">
        <v>948</v>
      </c>
      <c r="E234" s="193" t="s">
        <v>941</v>
      </c>
      <c r="F234" s="202">
        <v>21.2</v>
      </c>
      <c r="G234" s="202"/>
      <c r="H234" s="203">
        <v>2400</v>
      </c>
      <c r="I234" s="10" t="s">
        <v>604</v>
      </c>
      <c r="J234" s="10" t="s">
        <v>21</v>
      </c>
      <c r="K234" s="10" t="s">
        <v>949</v>
      </c>
      <c r="L234" s="193"/>
      <c r="M234" s="196">
        <f>22.1-1.75</f>
        <v>20.350000000000001</v>
      </c>
      <c r="N234" s="196">
        <f>0.4+2.55</f>
        <v>2.9499999999999997</v>
      </c>
      <c r="O234" s="196">
        <f>M234-P234-Q234-N234</f>
        <v>10.800000000000002</v>
      </c>
      <c r="P234" s="196">
        <v>2.2000000000000002</v>
      </c>
      <c r="Q234" s="196">
        <v>4.4000000000000004</v>
      </c>
      <c r="R234" s="196"/>
      <c r="S234" s="196"/>
      <c r="T234" s="196">
        <f>0.95*2.1</f>
        <v>1.9949999999999999</v>
      </c>
      <c r="U234" s="196"/>
      <c r="V234" s="196"/>
      <c r="W234" s="196"/>
      <c r="X234" s="196"/>
      <c r="Y234" s="171"/>
      <c r="AP234" s="197">
        <f>N234*2.67-T234</f>
        <v>5.8814999999999991</v>
      </c>
      <c r="AQ234" s="197">
        <f>O234*2.4-U234</f>
        <v>25.920000000000005</v>
      </c>
      <c r="BA234" s="171"/>
      <c r="BB234" s="196">
        <f>N234+O234+Q234</f>
        <v>18.150000000000002</v>
      </c>
    </row>
    <row r="235" spans="1:54" s="197" customFormat="1" x14ac:dyDescent="0.2">
      <c r="A235" s="186">
        <v>29</v>
      </c>
      <c r="B235" s="171" t="s">
        <v>111</v>
      </c>
      <c r="C235" s="171" t="s">
        <v>112</v>
      </c>
      <c r="D235" s="10" t="s">
        <v>940</v>
      </c>
      <c r="E235" s="193" t="s">
        <v>941</v>
      </c>
      <c r="F235" s="202">
        <v>22.65</v>
      </c>
      <c r="G235" s="202"/>
      <c r="H235" s="203">
        <v>2300</v>
      </c>
      <c r="I235" s="10" t="s">
        <v>604</v>
      </c>
      <c r="J235" s="10" t="s">
        <v>11</v>
      </c>
      <c r="K235" s="10" t="s">
        <v>763</v>
      </c>
      <c r="L235" s="193"/>
      <c r="M235" s="196">
        <f>23.15-1.75</f>
        <v>21.4</v>
      </c>
      <c r="N235" s="196">
        <f>M235-O235-P235</f>
        <v>14.2</v>
      </c>
      <c r="O235" s="196">
        <v>2.25</v>
      </c>
      <c r="P235" s="196">
        <v>4.95</v>
      </c>
      <c r="Q235" s="196"/>
      <c r="R235" s="196"/>
      <c r="S235" s="196"/>
      <c r="T235" s="196">
        <f>0.95*2.1</f>
        <v>1.9949999999999999</v>
      </c>
      <c r="U235" s="196"/>
      <c r="V235" s="196"/>
      <c r="W235" s="196"/>
      <c r="X235" s="196"/>
      <c r="Y235" s="171"/>
      <c r="AP235" s="197">
        <f>N235*G235-T235</f>
        <v>-1.9949999999999999</v>
      </c>
      <c r="AQ235" s="197">
        <f>O235*G235-U235</f>
        <v>0</v>
      </c>
      <c r="BA235" s="171"/>
      <c r="BB235" s="196">
        <f>N235+P235</f>
        <v>19.149999999999999</v>
      </c>
    </row>
    <row r="236" spans="1:54" s="197" customFormat="1" x14ac:dyDescent="0.2">
      <c r="A236" s="171">
        <v>94</v>
      </c>
      <c r="B236" s="171" t="s">
        <v>111</v>
      </c>
      <c r="C236" s="171" t="s">
        <v>114</v>
      </c>
      <c r="D236" s="10" t="s">
        <v>961</v>
      </c>
      <c r="E236" s="193" t="s">
        <v>933</v>
      </c>
      <c r="F236" s="202">
        <v>23.4</v>
      </c>
      <c r="G236" s="202"/>
      <c r="H236" s="203">
        <v>2400</v>
      </c>
      <c r="I236" s="10" t="s">
        <v>604</v>
      </c>
      <c r="J236" s="10" t="s">
        <v>6</v>
      </c>
      <c r="K236" s="10" t="s">
        <v>962</v>
      </c>
      <c r="L236" s="193"/>
      <c r="M236" s="196">
        <f>23-0.9</f>
        <v>22.1</v>
      </c>
      <c r="N236" s="196">
        <f>4.8+2.5</f>
        <v>7.3</v>
      </c>
      <c r="O236" s="196">
        <f>M236-P236-N236</f>
        <v>9</v>
      </c>
      <c r="P236" s="196">
        <f>2.2+4.5-0.9</f>
        <v>5.8</v>
      </c>
      <c r="Q236" s="196"/>
      <c r="R236" s="196"/>
      <c r="S236" s="196"/>
      <c r="T236" s="196">
        <f>0.95*2.1</f>
        <v>1.9949999999999999</v>
      </c>
      <c r="U236" s="196"/>
      <c r="V236" s="196"/>
      <c r="W236" s="196"/>
      <c r="X236" s="196"/>
      <c r="Y236" s="171"/>
      <c r="BA236" s="171"/>
      <c r="BB236" s="196">
        <f>M236</f>
        <v>22.1</v>
      </c>
    </row>
    <row r="237" spans="1:54" s="197" customFormat="1" x14ac:dyDescent="0.2">
      <c r="A237" s="186">
        <v>90</v>
      </c>
      <c r="B237" s="171" t="s">
        <v>111</v>
      </c>
      <c r="C237" s="171" t="s">
        <v>114</v>
      </c>
      <c r="D237" s="10" t="s">
        <v>957</v>
      </c>
      <c r="E237" s="193" t="s">
        <v>941</v>
      </c>
      <c r="F237" s="202">
        <v>24.25</v>
      </c>
      <c r="G237" s="202"/>
      <c r="H237" s="203">
        <v>2400</v>
      </c>
      <c r="I237" s="10" t="s">
        <v>604</v>
      </c>
      <c r="J237" s="10" t="s">
        <v>6</v>
      </c>
      <c r="K237" s="10" t="s">
        <v>949</v>
      </c>
      <c r="L237" s="193"/>
      <c r="M237" s="196">
        <f>23.3</f>
        <v>23.3</v>
      </c>
      <c r="N237" s="196">
        <f>5.2+0.6</f>
        <v>5.8</v>
      </c>
      <c r="O237" s="196">
        <f>M237-P237-N237</f>
        <v>11.400000000000002</v>
      </c>
      <c r="P237" s="196">
        <f>2.6+3.5</f>
        <v>6.1</v>
      </c>
      <c r="Q237" s="196"/>
      <c r="R237" s="196"/>
      <c r="S237" s="196"/>
      <c r="T237" s="196"/>
      <c r="U237" s="196">
        <f>0.95*2.1</f>
        <v>1.9949999999999999</v>
      </c>
      <c r="V237" s="196"/>
      <c r="W237" s="196"/>
      <c r="X237" s="196"/>
      <c r="Y237" s="171"/>
      <c r="AP237" s="197">
        <f>N237*2.67-T237</f>
        <v>15.485999999999999</v>
      </c>
      <c r="AQ237" s="197">
        <f>O237*2.4-U237</f>
        <v>25.365000000000002</v>
      </c>
      <c r="BA237" s="171"/>
      <c r="BB237" s="196">
        <f>M237</f>
        <v>23.3</v>
      </c>
    </row>
    <row r="238" spans="1:54" s="197" customFormat="1" x14ac:dyDescent="0.2">
      <c r="A238" s="171">
        <v>25</v>
      </c>
      <c r="B238" s="171" t="s">
        <v>111</v>
      </c>
      <c r="C238" s="171" t="s">
        <v>112</v>
      </c>
      <c r="D238" s="10" t="s">
        <v>932</v>
      </c>
      <c r="E238" s="193" t="s">
        <v>933</v>
      </c>
      <c r="F238" s="202">
        <v>25.25</v>
      </c>
      <c r="G238" s="202"/>
      <c r="H238" s="203">
        <v>2300</v>
      </c>
      <c r="I238" s="10" t="s">
        <v>604</v>
      </c>
      <c r="J238" s="10" t="s">
        <v>6</v>
      </c>
      <c r="K238" s="10" t="s">
        <v>763</v>
      </c>
      <c r="L238" s="193"/>
      <c r="M238" s="196">
        <f>23.7</f>
        <v>23.7</v>
      </c>
      <c r="N238" s="196">
        <f>2+0.515*2+0.35+0.3</f>
        <v>3.68</v>
      </c>
      <c r="O238" s="196">
        <f>M238-N238-P238</f>
        <v>16.09</v>
      </c>
      <c r="P238" s="196">
        <f>3.5+0.43</f>
        <v>3.93</v>
      </c>
      <c r="Q238" s="196"/>
      <c r="R238" s="196"/>
      <c r="S238" s="196"/>
      <c r="T238" s="196">
        <f>0.95*2.1</f>
        <v>1.9949999999999999</v>
      </c>
      <c r="U238" s="196"/>
      <c r="V238" s="196"/>
      <c r="W238" s="196"/>
      <c r="X238" s="196"/>
      <c r="Y238" s="171"/>
      <c r="BA238" s="171"/>
      <c r="BB238" s="196">
        <f>M238</f>
        <v>23.7</v>
      </c>
    </row>
    <row r="239" spans="1:54" s="197" customFormat="1" x14ac:dyDescent="0.2">
      <c r="A239" s="186">
        <v>69</v>
      </c>
      <c r="B239" s="171" t="s">
        <v>111</v>
      </c>
      <c r="C239" s="171" t="s">
        <v>113</v>
      </c>
      <c r="D239" s="10" t="s">
        <v>953</v>
      </c>
      <c r="E239" s="193" t="s">
        <v>933</v>
      </c>
      <c r="F239" s="202">
        <v>28.35</v>
      </c>
      <c r="G239" s="202"/>
      <c r="H239" s="203">
        <v>2400</v>
      </c>
      <c r="I239" s="10" t="s">
        <v>604</v>
      </c>
      <c r="J239" s="10" t="s">
        <v>23</v>
      </c>
      <c r="K239" s="10" t="s">
        <v>756</v>
      </c>
      <c r="L239" s="193"/>
      <c r="M239" s="196">
        <f>28.3-0.9</f>
        <v>27.400000000000002</v>
      </c>
      <c r="N239" s="196">
        <f>2.65+0.2+0.6+0.3+0.6</f>
        <v>4.3499999999999996</v>
      </c>
      <c r="O239" s="196">
        <f>6.1+6.7</f>
        <v>12.8</v>
      </c>
      <c r="P239" s="196">
        <f>1.1+0.55*2</f>
        <v>2.2000000000000002</v>
      </c>
      <c r="Q239" s="196">
        <f>M239-N239-O239-P239</f>
        <v>8.0500000000000043</v>
      </c>
      <c r="R239" s="196"/>
      <c r="S239" s="196"/>
      <c r="T239" s="196">
        <f>0.95*2.1</f>
        <v>1.9949999999999999</v>
      </c>
      <c r="U239" s="196"/>
      <c r="V239" s="196"/>
      <c r="W239" s="196"/>
      <c r="X239" s="196"/>
      <c r="Y239" s="171"/>
      <c r="AP239" s="197">
        <f>N239*2.67-T239</f>
        <v>9.6195000000000004</v>
      </c>
      <c r="AQ239" s="197">
        <f>O239*2.4-U239</f>
        <v>30.72</v>
      </c>
      <c r="AY239" s="197">
        <f>P239*2.67-V239</f>
        <v>5.8740000000000006</v>
      </c>
      <c r="BA239" s="171"/>
      <c r="BB239" s="196">
        <f>N239+O239+Q239</f>
        <v>25.200000000000003</v>
      </c>
    </row>
    <row r="240" spans="1:54" s="197" customFormat="1" ht="30" x14ac:dyDescent="0.2">
      <c r="A240" s="186">
        <v>363</v>
      </c>
      <c r="B240" s="171" t="s">
        <v>118</v>
      </c>
      <c r="C240" s="171" t="s">
        <v>114</v>
      </c>
      <c r="D240" s="10" t="s">
        <v>975</v>
      </c>
      <c r="E240" s="193" t="s">
        <v>875</v>
      </c>
      <c r="F240" s="194">
        <v>68.3</v>
      </c>
      <c r="G240" s="200">
        <f>H240/1000</f>
        <v>2.83</v>
      </c>
      <c r="H240" s="208">
        <v>2830</v>
      </c>
      <c r="I240" s="10" t="s">
        <v>973</v>
      </c>
      <c r="J240" s="10" t="s">
        <v>316</v>
      </c>
      <c r="K240" s="10" t="s">
        <v>863</v>
      </c>
      <c r="L240" s="193"/>
      <c r="M240" s="196">
        <f>69.7+1.26*2-7</f>
        <v>65.22</v>
      </c>
      <c r="N240" s="196">
        <f>12.65+2+1.26*2+1.65</f>
        <v>18.82</v>
      </c>
      <c r="O240" s="196">
        <f>(0.325*2+2.25)*3</f>
        <v>8.6999999999999993</v>
      </c>
      <c r="P240" s="196">
        <f>M240-R240-O240-N240-Q240</f>
        <v>34.4</v>
      </c>
      <c r="Q240" s="196">
        <v>3.3</v>
      </c>
      <c r="R240" s="196"/>
      <c r="S240" s="196"/>
      <c r="T240" s="196"/>
      <c r="U240" s="196"/>
      <c r="V240" s="196">
        <f>2.45*2.85+2.5*2.85</f>
        <v>14.107500000000002</v>
      </c>
      <c r="W240" s="196"/>
      <c r="X240" s="196"/>
      <c r="Y240" s="171"/>
      <c r="AM240" s="197">
        <f>N240*G240-T240</f>
        <v>53.260600000000004</v>
      </c>
      <c r="AP240" s="197">
        <f>O240*G240-U240</f>
        <v>24.620999999999999</v>
      </c>
      <c r="BA240" s="171"/>
      <c r="BB240" s="196">
        <f>N240+O240+P240</f>
        <v>61.92</v>
      </c>
    </row>
    <row r="241" spans="1:54" s="197" customFormat="1" x14ac:dyDescent="0.2">
      <c r="A241" s="186">
        <v>38</v>
      </c>
      <c r="B241" s="171" t="s">
        <v>111</v>
      </c>
      <c r="C241" s="171" t="s">
        <v>112</v>
      </c>
      <c r="D241" s="10" t="s">
        <v>984</v>
      </c>
      <c r="E241" s="193" t="s">
        <v>985</v>
      </c>
      <c r="F241" s="202">
        <v>3.65</v>
      </c>
      <c r="G241" s="200">
        <f>H241/1000</f>
        <v>3.6</v>
      </c>
      <c r="H241" s="195">
        <f>2800+800</f>
        <v>3600</v>
      </c>
      <c r="I241" s="10" t="s">
        <v>607</v>
      </c>
      <c r="J241" s="10" t="s">
        <v>8</v>
      </c>
      <c r="K241" s="189" t="s">
        <v>9</v>
      </c>
      <c r="L241" s="201"/>
      <c r="M241" s="196">
        <f>7.75-2.05</f>
        <v>5.7</v>
      </c>
      <c r="N241" s="196">
        <f>7.75-2.05</f>
        <v>5.7</v>
      </c>
      <c r="O241" s="196"/>
      <c r="P241" s="196"/>
      <c r="Q241" s="196"/>
      <c r="R241" s="196"/>
      <c r="S241" s="196"/>
      <c r="T241" s="196">
        <f>1.825*2.5</f>
        <v>4.5625</v>
      </c>
      <c r="U241" s="196"/>
      <c r="V241" s="196"/>
      <c r="W241" s="196"/>
      <c r="X241" s="196"/>
      <c r="Y241" s="171"/>
      <c r="BA241" s="171"/>
      <c r="BB241" s="196">
        <f t="shared" ref="BB241:BB262" si="61">M241</f>
        <v>5.7</v>
      </c>
    </row>
    <row r="242" spans="1:54" s="197" customFormat="1" x14ac:dyDescent="0.2">
      <c r="A242" s="186">
        <v>8</v>
      </c>
      <c r="B242" s="171" t="s">
        <v>111</v>
      </c>
      <c r="C242" s="171" t="s">
        <v>112</v>
      </c>
      <c r="D242" s="10" t="s">
        <v>979</v>
      </c>
      <c r="E242" s="193" t="s">
        <v>644</v>
      </c>
      <c r="F242" s="202">
        <v>4.5</v>
      </c>
      <c r="G242" s="200">
        <f>H242/1000</f>
        <v>18.82</v>
      </c>
      <c r="H242" s="195">
        <v>18820</v>
      </c>
      <c r="I242" s="10" t="s">
        <v>607</v>
      </c>
      <c r="J242" s="10" t="s">
        <v>270</v>
      </c>
      <c r="K242" s="189"/>
      <c r="L242" s="201"/>
      <c r="M242" s="196">
        <v>8.5</v>
      </c>
      <c r="N242" s="196">
        <v>8.5</v>
      </c>
      <c r="O242" s="196"/>
      <c r="P242" s="196"/>
      <c r="Q242" s="196"/>
      <c r="R242" s="196"/>
      <c r="S242" s="196"/>
      <c r="T242" s="196">
        <f>1.1*2.1*5</f>
        <v>11.550000000000002</v>
      </c>
      <c r="U242" s="196"/>
      <c r="V242" s="196"/>
      <c r="W242" s="196"/>
      <c r="X242" s="196"/>
      <c r="Y242" s="171"/>
      <c r="BA242" s="171"/>
      <c r="BB242" s="196">
        <f t="shared" si="61"/>
        <v>8.5</v>
      </c>
    </row>
    <row r="243" spans="1:54" s="197" customFormat="1" x14ac:dyDescent="0.2">
      <c r="A243" s="171">
        <v>52</v>
      </c>
      <c r="B243" s="171" t="s">
        <v>111</v>
      </c>
      <c r="C243" s="171" t="s">
        <v>113</v>
      </c>
      <c r="D243" s="10" t="s">
        <v>987</v>
      </c>
      <c r="E243" s="193" t="s">
        <v>644</v>
      </c>
      <c r="F243" s="202">
        <v>4.5</v>
      </c>
      <c r="G243" s="200">
        <f>H243/1000</f>
        <v>18.82</v>
      </c>
      <c r="H243" s="195">
        <v>18820</v>
      </c>
      <c r="I243" s="10" t="s">
        <v>607</v>
      </c>
      <c r="J243" s="10" t="s">
        <v>270</v>
      </c>
      <c r="K243" s="189" t="s">
        <v>9</v>
      </c>
      <c r="L243" s="201"/>
      <c r="M243" s="196">
        <v>8.5</v>
      </c>
      <c r="N243" s="196">
        <v>8.5</v>
      </c>
      <c r="O243" s="196"/>
      <c r="P243" s="196"/>
      <c r="Q243" s="196"/>
      <c r="R243" s="196"/>
      <c r="S243" s="196"/>
      <c r="T243" s="196">
        <f>1.1*2.1*5</f>
        <v>11.550000000000002</v>
      </c>
      <c r="U243" s="196"/>
      <c r="V243" s="196"/>
      <c r="W243" s="196"/>
      <c r="X243" s="196"/>
      <c r="Y243" s="171"/>
      <c r="AP243" s="197">
        <f>N243*2.67-T243</f>
        <v>11.144999999999998</v>
      </c>
      <c r="AQ243" s="197">
        <f>O243*2.4-U243</f>
        <v>0</v>
      </c>
      <c r="AY243" s="197">
        <f>P243*2.67-V243</f>
        <v>0</v>
      </c>
      <c r="BA243" s="171"/>
      <c r="BB243" s="196">
        <f t="shared" si="61"/>
        <v>8.5</v>
      </c>
    </row>
    <row r="244" spans="1:54" x14ac:dyDescent="0.2">
      <c r="A244" s="171">
        <v>82</v>
      </c>
      <c r="B244" s="171" t="s">
        <v>111</v>
      </c>
      <c r="C244" s="171" t="s">
        <v>114</v>
      </c>
      <c r="D244" s="10" t="s">
        <v>991</v>
      </c>
      <c r="E244" s="193" t="s">
        <v>644</v>
      </c>
      <c r="F244" s="202">
        <v>4.5</v>
      </c>
      <c r="G244" s="200">
        <f>H244/1000</f>
        <v>18.82</v>
      </c>
      <c r="H244" s="195">
        <v>18820</v>
      </c>
      <c r="I244" s="10" t="s">
        <v>607</v>
      </c>
      <c r="J244" s="10" t="s">
        <v>270</v>
      </c>
      <c r="K244" s="207" t="s">
        <v>9</v>
      </c>
      <c r="L244" s="193"/>
      <c r="M244" s="196">
        <v>8.5</v>
      </c>
      <c r="N244" s="196">
        <v>8.5</v>
      </c>
      <c r="T244" s="196">
        <f>1.1*2.1*5</f>
        <v>11.550000000000002</v>
      </c>
      <c r="AP244" s="197">
        <f>N244*2.67-T244</f>
        <v>11.144999999999998</v>
      </c>
      <c r="AQ244" s="197">
        <f>O244*2.4-U244</f>
        <v>0</v>
      </c>
      <c r="BB244" s="196">
        <f t="shared" si="61"/>
        <v>8.5</v>
      </c>
    </row>
    <row r="245" spans="1:54" x14ac:dyDescent="0.2">
      <c r="A245" s="171">
        <v>34</v>
      </c>
      <c r="B245" s="171" t="s">
        <v>111</v>
      </c>
      <c r="C245" s="171" t="s">
        <v>112</v>
      </c>
      <c r="D245" s="10" t="s">
        <v>980</v>
      </c>
      <c r="E245" s="193" t="s">
        <v>981</v>
      </c>
      <c r="F245" s="202">
        <v>4.3</v>
      </c>
      <c r="G245" s="202"/>
      <c r="H245" s="203">
        <v>3600</v>
      </c>
      <c r="I245" s="10" t="s">
        <v>607</v>
      </c>
      <c r="J245" s="10" t="s">
        <v>2</v>
      </c>
      <c r="K245" s="10" t="s">
        <v>677</v>
      </c>
      <c r="L245" s="193"/>
      <c r="M245" s="196">
        <v>9.8000000000000007</v>
      </c>
      <c r="N245" s="196">
        <f>1.95+2.95</f>
        <v>4.9000000000000004</v>
      </c>
      <c r="O245" s="196">
        <f>M245-N245</f>
        <v>4.9000000000000004</v>
      </c>
      <c r="U245" s="196">
        <f>1.8*2.1</f>
        <v>3.7800000000000002</v>
      </c>
      <c r="BB245" s="196">
        <f t="shared" si="61"/>
        <v>9.8000000000000007</v>
      </c>
    </row>
    <row r="246" spans="1:54" x14ac:dyDescent="0.2">
      <c r="A246" s="171">
        <v>7</v>
      </c>
      <c r="B246" s="171" t="s">
        <v>111</v>
      </c>
      <c r="C246" s="171" t="s">
        <v>112</v>
      </c>
      <c r="D246" s="10" t="s">
        <v>978</v>
      </c>
      <c r="E246" s="193" t="s">
        <v>660</v>
      </c>
      <c r="F246" s="202">
        <v>6.15</v>
      </c>
      <c r="G246" s="200">
        <f>H246/1000</f>
        <v>18.82</v>
      </c>
      <c r="H246" s="195">
        <v>18820</v>
      </c>
      <c r="I246" s="10" t="s">
        <v>607</v>
      </c>
      <c r="J246" s="10" t="s">
        <v>270</v>
      </c>
      <c r="K246" s="189"/>
      <c r="L246" s="201"/>
      <c r="M246" s="196">
        <v>10.1</v>
      </c>
      <c r="N246" s="196">
        <v>10.1</v>
      </c>
      <c r="T246" s="196">
        <f>1.1*2.1*5</f>
        <v>11.550000000000002</v>
      </c>
      <c r="AM246" s="197">
        <f>N246*G246-T246</f>
        <v>178.53199999999998</v>
      </c>
      <c r="AN246" s="197">
        <f>O246*G246-U246</f>
        <v>0</v>
      </c>
      <c r="AP246" s="197">
        <f>P246*G246-V246</f>
        <v>0</v>
      </c>
      <c r="AQ246" s="197">
        <f>Q246*G246-W246</f>
        <v>0</v>
      </c>
      <c r="AZ246" s="197">
        <f>R246*G246-X246</f>
        <v>0</v>
      </c>
      <c r="BB246" s="196">
        <f t="shared" si="61"/>
        <v>10.1</v>
      </c>
    </row>
    <row r="247" spans="1:54" x14ac:dyDescent="0.2">
      <c r="A247" s="186">
        <v>51</v>
      </c>
      <c r="B247" s="171" t="s">
        <v>111</v>
      </c>
      <c r="C247" s="171" t="s">
        <v>113</v>
      </c>
      <c r="D247" s="10" t="s">
        <v>986</v>
      </c>
      <c r="E247" s="193" t="s">
        <v>660</v>
      </c>
      <c r="F247" s="202">
        <v>6.15</v>
      </c>
      <c r="G247" s="200">
        <f>H247/1000</f>
        <v>18.82</v>
      </c>
      <c r="H247" s="195">
        <v>18820</v>
      </c>
      <c r="I247" s="10" t="s">
        <v>607</v>
      </c>
      <c r="J247" s="10" t="s">
        <v>270</v>
      </c>
      <c r="K247" s="189" t="s">
        <v>9</v>
      </c>
      <c r="L247" s="201"/>
      <c r="M247" s="196">
        <v>10.1</v>
      </c>
      <c r="N247" s="196">
        <v>10.1</v>
      </c>
      <c r="T247" s="196">
        <f>1.1*2.1*5</f>
        <v>11.550000000000002</v>
      </c>
      <c r="BB247" s="196">
        <f t="shared" si="61"/>
        <v>10.1</v>
      </c>
    </row>
    <row r="248" spans="1:54" x14ac:dyDescent="0.2">
      <c r="A248" s="186">
        <v>81</v>
      </c>
      <c r="B248" s="171" t="s">
        <v>111</v>
      </c>
      <c r="C248" s="171" t="s">
        <v>114</v>
      </c>
      <c r="D248" s="10" t="s">
        <v>990</v>
      </c>
      <c r="E248" s="193" t="s">
        <v>660</v>
      </c>
      <c r="F248" s="202">
        <v>6.15</v>
      </c>
      <c r="G248" s="200">
        <f>H248/1000</f>
        <v>18.82</v>
      </c>
      <c r="H248" s="195">
        <v>18820</v>
      </c>
      <c r="I248" s="10" t="s">
        <v>607</v>
      </c>
      <c r="J248" s="10" t="s">
        <v>270</v>
      </c>
      <c r="K248" s="189" t="s">
        <v>9</v>
      </c>
      <c r="L248" s="201"/>
      <c r="M248" s="196">
        <v>10.1</v>
      </c>
      <c r="N248" s="196">
        <v>10.1</v>
      </c>
      <c r="T248" s="196">
        <f>1.1*2.1*5</f>
        <v>11.550000000000002</v>
      </c>
      <c r="AP248" s="197">
        <f>N248*2.67-T248</f>
        <v>15.416999999999996</v>
      </c>
      <c r="AQ248" s="197">
        <f>O248*2.4-U248</f>
        <v>0</v>
      </c>
      <c r="AY248" s="197">
        <f>P248*2.67-V248</f>
        <v>0</v>
      </c>
      <c r="BB248" s="196">
        <f t="shared" si="61"/>
        <v>10.1</v>
      </c>
    </row>
    <row r="249" spans="1:54" x14ac:dyDescent="0.2">
      <c r="A249" s="186">
        <v>63</v>
      </c>
      <c r="B249" s="171" t="s">
        <v>111</v>
      </c>
      <c r="C249" s="171" t="s">
        <v>113</v>
      </c>
      <c r="D249" s="10" t="s">
        <v>988</v>
      </c>
      <c r="E249" s="193" t="s">
        <v>989</v>
      </c>
      <c r="F249" s="202">
        <v>7.25</v>
      </c>
      <c r="G249" s="200">
        <f>H249/1000</f>
        <v>8.11</v>
      </c>
      <c r="H249" s="195">
        <v>8110</v>
      </c>
      <c r="I249" s="10" t="s">
        <v>607</v>
      </c>
      <c r="J249" s="10" t="s">
        <v>270</v>
      </c>
      <c r="K249" s="189" t="s">
        <v>9</v>
      </c>
      <c r="L249" s="201"/>
      <c r="M249" s="196">
        <v>10.75</v>
      </c>
      <c r="N249" s="196">
        <f>M249</f>
        <v>10.75</v>
      </c>
      <c r="T249" s="196">
        <f>1.3*2.1</f>
        <v>2.7300000000000004</v>
      </c>
      <c r="AP249" s="197">
        <f>N249*2.67-T249</f>
        <v>25.9725</v>
      </c>
      <c r="AQ249" s="197">
        <f>O249*2.4-U249</f>
        <v>0</v>
      </c>
      <c r="BB249" s="196">
        <f t="shared" si="61"/>
        <v>10.75</v>
      </c>
    </row>
    <row r="250" spans="1:54" x14ac:dyDescent="0.2">
      <c r="A250" s="186">
        <v>35</v>
      </c>
      <c r="B250" s="171" t="s">
        <v>111</v>
      </c>
      <c r="C250" s="171" t="s">
        <v>112</v>
      </c>
      <c r="D250" s="10" t="s">
        <v>982</v>
      </c>
      <c r="E250" s="193" t="s">
        <v>983</v>
      </c>
      <c r="F250" s="202">
        <v>8.9</v>
      </c>
      <c r="G250" s="202"/>
      <c r="H250" s="203">
        <v>3600</v>
      </c>
      <c r="I250" s="10" t="s">
        <v>607</v>
      </c>
      <c r="J250" s="10" t="s">
        <v>2</v>
      </c>
      <c r="K250" s="10" t="s">
        <v>677</v>
      </c>
      <c r="L250" s="193"/>
      <c r="M250" s="196">
        <v>13.95</v>
      </c>
      <c r="N250" s="196">
        <v>4.05</v>
      </c>
      <c r="O250" s="196">
        <f>M250-N250</f>
        <v>9.8999999999999986</v>
      </c>
      <c r="U250" s="196">
        <f>1.8*2.1+1.85*2.1</f>
        <v>7.6650000000000009</v>
      </c>
      <c r="AP250" s="197">
        <f>N250*G250-T250</f>
        <v>0</v>
      </c>
      <c r="AQ250" s="197">
        <f>O250*G250-U250</f>
        <v>-7.6650000000000009</v>
      </c>
      <c r="AT250" s="197">
        <f>P250*G250-V250</f>
        <v>0</v>
      </c>
      <c r="BB250" s="196">
        <f t="shared" si="61"/>
        <v>13.95</v>
      </c>
    </row>
    <row r="251" spans="1:54" ht="30" x14ac:dyDescent="0.2">
      <c r="A251" s="186">
        <v>101</v>
      </c>
      <c r="B251" s="171" t="s">
        <v>111</v>
      </c>
      <c r="C251" s="171" t="s">
        <v>114</v>
      </c>
      <c r="D251" s="10" t="s">
        <v>1000</v>
      </c>
      <c r="E251" s="193" t="s">
        <v>1001</v>
      </c>
      <c r="F251" s="202">
        <v>5.0999999999999996</v>
      </c>
      <c r="G251" s="200">
        <f>H251/1000</f>
        <v>6.2649999999999997</v>
      </c>
      <c r="H251" s="195">
        <v>6265</v>
      </c>
      <c r="I251" s="10" t="s">
        <v>608</v>
      </c>
      <c r="J251" s="189" t="s">
        <v>8</v>
      </c>
      <c r="K251" s="10" t="s">
        <v>1002</v>
      </c>
      <c r="L251" s="193"/>
      <c r="M251" s="196">
        <v>9.8000000000000007</v>
      </c>
      <c r="N251" s="196">
        <v>9.8000000000000007</v>
      </c>
      <c r="BB251" s="196">
        <f t="shared" si="61"/>
        <v>9.8000000000000007</v>
      </c>
    </row>
    <row r="252" spans="1:54" ht="30" x14ac:dyDescent="0.2">
      <c r="A252" s="186">
        <v>42</v>
      </c>
      <c r="B252" s="171" t="s">
        <v>111</v>
      </c>
      <c r="C252" s="171" t="s">
        <v>112</v>
      </c>
      <c r="D252" s="10" t="s">
        <v>998</v>
      </c>
      <c r="E252" s="193" t="s">
        <v>999</v>
      </c>
      <c r="F252" s="202">
        <v>8.3000000000000007</v>
      </c>
      <c r="G252" s="200">
        <f>H252/1000</f>
        <v>2.5</v>
      </c>
      <c r="H252" s="195">
        <v>2500</v>
      </c>
      <c r="I252" s="10" t="s">
        <v>608</v>
      </c>
      <c r="J252" s="10" t="s">
        <v>8</v>
      </c>
      <c r="K252" s="10" t="s">
        <v>994</v>
      </c>
      <c r="L252" s="193"/>
      <c r="M252" s="196">
        <v>13.2</v>
      </c>
      <c r="N252" s="196">
        <f>M252</f>
        <v>13.2</v>
      </c>
      <c r="T252" s="196">
        <f>1.8*1.4</f>
        <v>2.52</v>
      </c>
      <c r="BB252" s="196">
        <f t="shared" si="61"/>
        <v>13.2</v>
      </c>
    </row>
    <row r="253" spans="1:54" x14ac:dyDescent="0.2">
      <c r="A253" s="171">
        <v>205</v>
      </c>
      <c r="B253" s="171" t="s">
        <v>116</v>
      </c>
      <c r="C253" s="171" t="s">
        <v>113</v>
      </c>
      <c r="D253" s="10" t="s">
        <v>1003</v>
      </c>
      <c r="E253" s="193" t="s">
        <v>1004</v>
      </c>
      <c r="F253" s="217">
        <v>10.1</v>
      </c>
      <c r="G253" s="200">
        <f>H253/1000</f>
        <v>1.41</v>
      </c>
      <c r="H253" s="218">
        <v>1410</v>
      </c>
      <c r="I253" s="10" t="s">
        <v>1005</v>
      </c>
      <c r="J253" s="10" t="s">
        <v>8</v>
      </c>
      <c r="K253" s="10" t="s">
        <v>1006</v>
      </c>
      <c r="L253" s="193"/>
      <c r="M253" s="196">
        <f>13.2</f>
        <v>13.2</v>
      </c>
      <c r="N253" s="196">
        <f>M253</f>
        <v>13.2</v>
      </c>
      <c r="T253" s="196">
        <f>2*1.41</f>
        <v>2.82</v>
      </c>
      <c r="AM253" s="197">
        <f>N253*G253-T253</f>
        <v>15.791999999999998</v>
      </c>
      <c r="AN253" s="197">
        <f>O253*G253-U253</f>
        <v>0</v>
      </c>
      <c r="AO253" s="197">
        <f>P253*G253-V253</f>
        <v>0</v>
      </c>
      <c r="AZ253" s="197">
        <f>Q253*G253-W253</f>
        <v>0</v>
      </c>
      <c r="BB253" s="196">
        <f t="shared" si="61"/>
        <v>13.2</v>
      </c>
    </row>
    <row r="254" spans="1:54" ht="30" x14ac:dyDescent="0.2">
      <c r="A254" s="186">
        <v>41</v>
      </c>
      <c r="B254" s="171" t="s">
        <v>111</v>
      </c>
      <c r="C254" s="171" t="s">
        <v>112</v>
      </c>
      <c r="D254" s="10" t="s">
        <v>995</v>
      </c>
      <c r="E254" s="193" t="s">
        <v>996</v>
      </c>
      <c r="F254" s="202">
        <v>12.45</v>
      </c>
      <c r="G254" s="200">
        <f>H254/1000</f>
        <v>1.44</v>
      </c>
      <c r="H254" s="195">
        <v>1440</v>
      </c>
      <c r="I254" s="10" t="s">
        <v>608</v>
      </c>
      <c r="J254" s="10" t="s">
        <v>8</v>
      </c>
      <c r="K254" s="10" t="s">
        <v>997</v>
      </c>
      <c r="L254" s="193"/>
      <c r="M254" s="196">
        <v>16.5</v>
      </c>
      <c r="N254" s="196">
        <f>M254</f>
        <v>16.5</v>
      </c>
      <c r="T254" s="196">
        <f>2*1</f>
        <v>2</v>
      </c>
      <c r="AP254" s="197">
        <f>N254*2.67-T254</f>
        <v>42.055</v>
      </c>
      <c r="AQ254" s="197">
        <f>O254*2.4-U254</f>
        <v>0</v>
      </c>
      <c r="AY254" s="197">
        <f>P254*2.67-V254</f>
        <v>0</v>
      </c>
      <c r="BB254" s="196">
        <f t="shared" si="61"/>
        <v>16.5</v>
      </c>
    </row>
    <row r="255" spans="1:54" ht="30" x14ac:dyDescent="0.2">
      <c r="A255" s="171">
        <v>40</v>
      </c>
      <c r="B255" s="171" t="s">
        <v>111</v>
      </c>
      <c r="C255" s="171" t="s">
        <v>112</v>
      </c>
      <c r="D255" s="10" t="s">
        <v>992</v>
      </c>
      <c r="E255" s="193" t="s">
        <v>993</v>
      </c>
      <c r="F255" s="202">
        <v>15.2</v>
      </c>
      <c r="G255" s="200">
        <f>H255/1000</f>
        <v>2.25</v>
      </c>
      <c r="H255" s="195">
        <v>2250</v>
      </c>
      <c r="I255" s="10" t="s">
        <v>608</v>
      </c>
      <c r="J255" s="10" t="s">
        <v>8</v>
      </c>
      <c r="K255" s="10" t="s">
        <v>994</v>
      </c>
      <c r="L255" s="193"/>
      <c r="M255" s="196">
        <v>23.4</v>
      </c>
      <c r="N255" s="196">
        <f>M255</f>
        <v>23.4</v>
      </c>
      <c r="AP255" s="197">
        <f>N255*2.67-T255</f>
        <v>62.477999999999994</v>
      </c>
      <c r="AQ255" s="197">
        <f>O255*2.4-U255</f>
        <v>0</v>
      </c>
      <c r="AY255" s="197">
        <f>P255*2.67-V255</f>
        <v>0</v>
      </c>
      <c r="BB255" s="196">
        <f t="shared" si="61"/>
        <v>23.4</v>
      </c>
    </row>
    <row r="256" spans="1:54" ht="30" x14ac:dyDescent="0.2">
      <c r="A256" s="186">
        <v>39</v>
      </c>
      <c r="B256" s="171" t="s">
        <v>111</v>
      </c>
      <c r="C256" s="171" t="s">
        <v>112</v>
      </c>
      <c r="D256" s="10" t="s">
        <v>1012</v>
      </c>
      <c r="E256" s="193" t="s">
        <v>1013</v>
      </c>
      <c r="F256" s="202">
        <v>4.3</v>
      </c>
      <c r="G256" s="202"/>
      <c r="H256" s="195">
        <v>3200</v>
      </c>
      <c r="I256" s="10" t="s">
        <v>609</v>
      </c>
      <c r="J256" s="10" t="s">
        <v>2</v>
      </c>
      <c r="K256" s="10" t="s">
        <v>1014</v>
      </c>
      <c r="L256" s="193"/>
      <c r="M256" s="196">
        <f>8.65-2.05</f>
        <v>6.6000000000000005</v>
      </c>
      <c r="N256" s="196">
        <f>M256-O256</f>
        <v>4.3000000000000007</v>
      </c>
      <c r="O256" s="196">
        <v>2.2999999999999998</v>
      </c>
      <c r="U256" s="196">
        <f>0.86*2.5</f>
        <v>2.15</v>
      </c>
      <c r="BB256" s="196">
        <f t="shared" si="61"/>
        <v>6.6000000000000005</v>
      </c>
    </row>
    <row r="257" spans="1:54" x14ac:dyDescent="0.2">
      <c r="A257" s="186">
        <v>36</v>
      </c>
      <c r="B257" s="171" t="s">
        <v>111</v>
      </c>
      <c r="C257" s="171" t="s">
        <v>112</v>
      </c>
      <c r="D257" s="10" t="s">
        <v>1008</v>
      </c>
      <c r="E257" s="193" t="s">
        <v>1009</v>
      </c>
      <c r="F257" s="202">
        <v>18.2</v>
      </c>
      <c r="G257" s="202"/>
      <c r="H257" s="203">
        <v>3600</v>
      </c>
      <c r="I257" s="10" t="s">
        <v>609</v>
      </c>
      <c r="J257" s="10" t="s">
        <v>2</v>
      </c>
      <c r="K257" s="10" t="s">
        <v>677</v>
      </c>
      <c r="L257" s="193"/>
      <c r="M257" s="196">
        <v>18.75</v>
      </c>
      <c r="N257" s="196">
        <f>0.75+6.65</f>
        <v>7.4</v>
      </c>
      <c r="O257" s="196">
        <f>M257-N257</f>
        <v>11.35</v>
      </c>
      <c r="U257" s="196">
        <f>1.1*2.1*2</f>
        <v>4.620000000000001</v>
      </c>
      <c r="BB257" s="196">
        <f t="shared" si="61"/>
        <v>18.75</v>
      </c>
    </row>
    <row r="258" spans="1:54" x14ac:dyDescent="0.2">
      <c r="A258" s="171">
        <v>37</v>
      </c>
      <c r="B258" s="171" t="s">
        <v>111</v>
      </c>
      <c r="C258" s="171" t="s">
        <v>112</v>
      </c>
      <c r="D258" s="10" t="s">
        <v>1010</v>
      </c>
      <c r="E258" s="193" t="s">
        <v>1011</v>
      </c>
      <c r="F258" s="202">
        <v>45.65</v>
      </c>
      <c r="G258" s="202"/>
      <c r="H258" s="203">
        <v>2800</v>
      </c>
      <c r="I258" s="10" t="s">
        <v>609</v>
      </c>
      <c r="J258" s="10" t="s">
        <v>2</v>
      </c>
      <c r="K258" s="10" t="s">
        <v>677</v>
      </c>
      <c r="L258" s="193"/>
      <c r="M258" s="196">
        <v>31.3</v>
      </c>
      <c r="N258" s="196">
        <f>10.25+11.5</f>
        <v>21.75</v>
      </c>
      <c r="O258" s="196">
        <f>M258-N258</f>
        <v>9.5500000000000007</v>
      </c>
      <c r="U258" s="196">
        <f>1.9*2.1+1.825*2.5+0.86+2.5</f>
        <v>11.9125</v>
      </c>
      <c r="AL258" s="197">
        <f>N258*H258/1000-T258</f>
        <v>60.9</v>
      </c>
      <c r="AM258" s="197">
        <f>O258*H258/1000-U258</f>
        <v>14.827500000000002</v>
      </c>
      <c r="AN258" s="197">
        <f>P258*H258/1000-V258</f>
        <v>0</v>
      </c>
      <c r="AO258" s="171"/>
      <c r="AP258" s="197">
        <f>Q258*H258/1000-W258</f>
        <v>0</v>
      </c>
      <c r="AZ258" s="197">
        <f>R258*H258/1000-X258</f>
        <v>0</v>
      </c>
      <c r="BB258" s="196">
        <f t="shared" si="61"/>
        <v>31.3</v>
      </c>
    </row>
    <row r="259" spans="1:54" x14ac:dyDescent="0.2">
      <c r="A259" s="186">
        <v>33</v>
      </c>
      <c r="B259" s="171" t="s">
        <v>111</v>
      </c>
      <c r="C259" s="171" t="s">
        <v>112</v>
      </c>
      <c r="D259" s="10" t="s">
        <v>1007</v>
      </c>
      <c r="E259" s="193" t="s">
        <v>679</v>
      </c>
      <c r="F259" s="202">
        <v>34.65</v>
      </c>
      <c r="G259" s="202"/>
      <c r="H259" s="203" t="s">
        <v>271</v>
      </c>
      <c r="I259" s="10" t="s">
        <v>609</v>
      </c>
      <c r="J259" s="10" t="s">
        <v>2</v>
      </c>
      <c r="K259" s="10" t="s">
        <v>677</v>
      </c>
      <c r="L259" s="193"/>
      <c r="M259" s="196">
        <v>36.700000000000003</v>
      </c>
      <c r="N259" s="196">
        <f>M259-O259</f>
        <v>18.550000000000004</v>
      </c>
      <c r="O259" s="196">
        <f>14.5+1.65+2</f>
        <v>18.149999999999999</v>
      </c>
      <c r="T259" s="196">
        <f>2.2*2.4</f>
        <v>5.28</v>
      </c>
      <c r="U259" s="196">
        <f>1.1*2.1*2+1.85*2.1+1.8*2.1*2+1.9*2.1</f>
        <v>20.055</v>
      </c>
      <c r="BB259" s="196">
        <f t="shared" si="61"/>
        <v>36.700000000000003</v>
      </c>
    </row>
    <row r="260" spans="1:54" x14ac:dyDescent="0.2">
      <c r="A260" s="171">
        <v>265</v>
      </c>
      <c r="B260" s="171" t="s">
        <v>116</v>
      </c>
      <c r="C260" s="171" t="s">
        <v>117</v>
      </c>
      <c r="D260" s="10" t="s">
        <v>1328</v>
      </c>
      <c r="E260" s="193" t="s">
        <v>861</v>
      </c>
      <c r="F260" s="194">
        <v>33.950000000000003</v>
      </c>
      <c r="G260" s="200">
        <f>H260/1000</f>
        <v>3</v>
      </c>
      <c r="H260" s="208">
        <v>3000</v>
      </c>
      <c r="I260" s="10" t="s">
        <v>1467</v>
      </c>
      <c r="J260" s="10" t="s">
        <v>73</v>
      </c>
      <c r="K260" s="10" t="s">
        <v>1017</v>
      </c>
      <c r="L260" s="10"/>
      <c r="M260" s="196">
        <f>36.9-1.525-4.75-4.9</f>
        <v>25.725000000000001</v>
      </c>
      <c r="N260" s="196">
        <v>0.7</v>
      </c>
      <c r="O260" s="196">
        <v>1.9</v>
      </c>
      <c r="P260" s="196">
        <f>M260-O260-N260</f>
        <v>23.125000000000004</v>
      </c>
      <c r="V260" s="196">
        <f>3.4*2.4</f>
        <v>8.16</v>
      </c>
      <c r="BB260" s="196">
        <f t="shared" si="61"/>
        <v>25.725000000000001</v>
      </c>
    </row>
    <row r="261" spans="1:54" x14ac:dyDescent="0.2">
      <c r="A261" s="171">
        <v>151</v>
      </c>
      <c r="B261" s="171" t="s">
        <v>116</v>
      </c>
      <c r="C261" s="171" t="s">
        <v>113</v>
      </c>
      <c r="D261" s="10" t="s">
        <v>1305</v>
      </c>
      <c r="E261" s="193" t="s">
        <v>1306</v>
      </c>
      <c r="F261" s="198">
        <v>14.7</v>
      </c>
      <c r="G261" s="200">
        <f>H261/1000</f>
        <v>2.61</v>
      </c>
      <c r="H261" s="219">
        <v>2610</v>
      </c>
      <c r="I261" s="10" t="s">
        <v>1467</v>
      </c>
      <c r="J261" s="10" t="s">
        <v>34</v>
      </c>
      <c r="K261" s="10" t="s">
        <v>1098</v>
      </c>
      <c r="L261" s="193"/>
      <c r="M261" s="196">
        <v>25.9</v>
      </c>
      <c r="N261" s="196">
        <f>M261</f>
        <v>25.9</v>
      </c>
      <c r="T261" s="196">
        <f>(1.665+2.5+4+4)*2.1+1.15*2.5</f>
        <v>28.421499999999998</v>
      </c>
      <c r="AP261" s="197">
        <f>N261*G261-T261</f>
        <v>39.177499999999995</v>
      </c>
      <c r="BB261" s="196">
        <f t="shared" si="61"/>
        <v>25.9</v>
      </c>
    </row>
    <row r="262" spans="1:54" x14ac:dyDescent="0.2">
      <c r="A262" s="186">
        <v>216</v>
      </c>
      <c r="B262" s="171" t="s">
        <v>116</v>
      </c>
      <c r="C262" s="171" t="s">
        <v>114</v>
      </c>
      <c r="D262" s="10" t="s">
        <v>1028</v>
      </c>
      <c r="E262" s="193" t="s">
        <v>861</v>
      </c>
      <c r="F262" s="194">
        <v>31.2</v>
      </c>
      <c r="G262" s="194"/>
      <c r="H262" s="208">
        <v>2610</v>
      </c>
      <c r="I262" s="10" t="s">
        <v>1029</v>
      </c>
      <c r="J262" s="10" t="s">
        <v>31</v>
      </c>
      <c r="K262" s="210" t="s">
        <v>26</v>
      </c>
      <c r="L262" s="193"/>
      <c r="M262" s="196">
        <f>30.3</f>
        <v>30.3</v>
      </c>
      <c r="N262" s="196">
        <v>2.4500000000000002</v>
      </c>
      <c r="O262" s="196">
        <f>3.1+5.15</f>
        <v>8.25</v>
      </c>
      <c r="P262" s="196">
        <f>M262-N262-O262</f>
        <v>19.600000000000001</v>
      </c>
      <c r="T262" s="196">
        <f>1.1*2.1</f>
        <v>2.3100000000000005</v>
      </c>
      <c r="U262" s="196">
        <f>1.4*2.5</f>
        <v>3.5</v>
      </c>
      <c r="AM262" s="197">
        <f>N262*G262-T262</f>
        <v>-2.3100000000000005</v>
      </c>
      <c r="AP262" s="197">
        <f>O262*G262-U262</f>
        <v>-3.5</v>
      </c>
      <c r="AR262" s="197">
        <f>P262*G262-V262</f>
        <v>0</v>
      </c>
      <c r="BB262" s="196">
        <f t="shared" si="61"/>
        <v>30.3</v>
      </c>
    </row>
    <row r="263" spans="1:54" x14ac:dyDescent="0.2">
      <c r="A263" s="186">
        <v>579</v>
      </c>
      <c r="B263" s="171" t="s">
        <v>120</v>
      </c>
      <c r="C263" s="171" t="s">
        <v>114</v>
      </c>
      <c r="D263" s="10" t="s">
        <v>359</v>
      </c>
      <c r="E263" s="193" t="s">
        <v>673</v>
      </c>
      <c r="F263" s="204">
        <v>42.5</v>
      </c>
      <c r="G263" s="200">
        <f t="shared" ref="G263:G274" si="62">H263/1000</f>
        <v>2.61</v>
      </c>
      <c r="H263" s="203">
        <v>2610</v>
      </c>
      <c r="I263" s="10" t="s">
        <v>1042</v>
      </c>
      <c r="J263" s="10" t="s">
        <v>96</v>
      </c>
      <c r="K263" s="10" t="s">
        <v>1032</v>
      </c>
      <c r="L263" s="193"/>
      <c r="M263" s="196">
        <f t="shared" ref="M263:M271" si="63">31.5+10.2</f>
        <v>41.7</v>
      </c>
      <c r="N263" s="196">
        <f t="shared" ref="N263:N271" si="64">M263-Q263-P263-O263</f>
        <v>32.825000000000003</v>
      </c>
      <c r="O263" s="196">
        <v>1.9</v>
      </c>
      <c r="P263" s="196">
        <f t="shared" ref="P263:P271" si="65">0.815+0.15+1.31</f>
        <v>2.2749999999999999</v>
      </c>
      <c r="Q263" s="196">
        <f t="shared" ref="Q263:Q271" si="66">4.4+0.15*2</f>
        <v>4.7</v>
      </c>
      <c r="T263" s="196">
        <f t="shared" ref="T263:T271" si="67">4.65*2.55+4.1*2.55+2.55*2.655+1.1*2.1</f>
        <v>31.392749999999999</v>
      </c>
      <c r="BB263" s="196">
        <f t="shared" ref="BB263:BB271" si="68">M263-Q263</f>
        <v>37</v>
      </c>
    </row>
    <row r="264" spans="1:54" x14ac:dyDescent="0.2">
      <c r="A264" s="186">
        <v>273</v>
      </c>
      <c r="B264" s="171" t="s">
        <v>118</v>
      </c>
      <c r="C264" s="171" t="s">
        <v>112</v>
      </c>
      <c r="D264" s="10" t="s">
        <v>351</v>
      </c>
      <c r="E264" s="193" t="s">
        <v>673</v>
      </c>
      <c r="F264" s="202">
        <v>42.6</v>
      </c>
      <c r="G264" s="200">
        <f t="shared" si="62"/>
        <v>2.61</v>
      </c>
      <c r="H264" s="203">
        <v>2610</v>
      </c>
      <c r="I264" s="10" t="s">
        <v>1031</v>
      </c>
      <c r="J264" s="10" t="s">
        <v>85</v>
      </c>
      <c r="K264" s="10" t="s">
        <v>1032</v>
      </c>
      <c r="L264" s="193"/>
      <c r="M264" s="196">
        <f t="shared" si="63"/>
        <v>41.7</v>
      </c>
      <c r="N264" s="196">
        <f t="shared" si="64"/>
        <v>32.825000000000003</v>
      </c>
      <c r="O264" s="196">
        <v>1.9</v>
      </c>
      <c r="P264" s="196">
        <f t="shared" si="65"/>
        <v>2.2749999999999999</v>
      </c>
      <c r="Q264" s="196">
        <f t="shared" si="66"/>
        <v>4.7</v>
      </c>
      <c r="T264" s="196">
        <f t="shared" si="67"/>
        <v>31.392749999999999</v>
      </c>
      <c r="AM264" s="197">
        <f>N264*G264-T264</f>
        <v>54.280500000000011</v>
      </c>
      <c r="AP264" s="197">
        <f>O264*G264-U264</f>
        <v>4.9589999999999996</v>
      </c>
      <c r="BB264" s="196">
        <f t="shared" si="68"/>
        <v>37</v>
      </c>
    </row>
    <row r="265" spans="1:54" x14ac:dyDescent="0.2">
      <c r="A265" s="186">
        <v>312</v>
      </c>
      <c r="B265" s="171" t="s">
        <v>118</v>
      </c>
      <c r="C265" s="171" t="s">
        <v>113</v>
      </c>
      <c r="D265" s="10" t="s">
        <v>352</v>
      </c>
      <c r="E265" s="193" t="s">
        <v>673</v>
      </c>
      <c r="F265" s="204">
        <v>42.5</v>
      </c>
      <c r="G265" s="200">
        <f t="shared" si="62"/>
        <v>2.61</v>
      </c>
      <c r="H265" s="203">
        <v>2610</v>
      </c>
      <c r="I265" s="10" t="s">
        <v>1031</v>
      </c>
      <c r="J265" s="10" t="s">
        <v>85</v>
      </c>
      <c r="K265" s="10" t="s">
        <v>1032</v>
      </c>
      <c r="L265" s="212"/>
      <c r="M265" s="196">
        <f t="shared" si="63"/>
        <v>41.7</v>
      </c>
      <c r="N265" s="196">
        <f t="shared" si="64"/>
        <v>32.825000000000003</v>
      </c>
      <c r="O265" s="196">
        <v>1.9</v>
      </c>
      <c r="P265" s="196">
        <f t="shared" si="65"/>
        <v>2.2749999999999999</v>
      </c>
      <c r="Q265" s="196">
        <f t="shared" si="66"/>
        <v>4.7</v>
      </c>
      <c r="T265" s="196">
        <f t="shared" si="67"/>
        <v>31.392749999999999</v>
      </c>
      <c r="AM265" s="197">
        <f>N265*G265-T265</f>
        <v>54.280500000000011</v>
      </c>
      <c r="AP265" s="197">
        <f>O265*G265-U265</f>
        <v>4.9589999999999996</v>
      </c>
      <c r="BB265" s="196">
        <f t="shared" si="68"/>
        <v>37</v>
      </c>
    </row>
    <row r="266" spans="1:54" x14ac:dyDescent="0.2">
      <c r="A266" s="186">
        <v>351</v>
      </c>
      <c r="B266" s="171" t="s">
        <v>118</v>
      </c>
      <c r="C266" s="171" t="s">
        <v>114</v>
      </c>
      <c r="D266" s="10" t="s">
        <v>353</v>
      </c>
      <c r="E266" s="193" t="s">
        <v>1016</v>
      </c>
      <c r="F266" s="194">
        <v>42.5</v>
      </c>
      <c r="G266" s="200">
        <f t="shared" si="62"/>
        <v>2.61</v>
      </c>
      <c r="H266" s="208">
        <v>2610</v>
      </c>
      <c r="I266" s="10" t="s">
        <v>1035</v>
      </c>
      <c r="J266" s="10" t="s">
        <v>85</v>
      </c>
      <c r="K266" s="10" t="s">
        <v>1017</v>
      </c>
      <c r="L266" s="193"/>
      <c r="M266" s="196">
        <f t="shared" si="63"/>
        <v>41.7</v>
      </c>
      <c r="N266" s="196">
        <f t="shared" si="64"/>
        <v>32.825000000000003</v>
      </c>
      <c r="O266" s="196">
        <v>1.9</v>
      </c>
      <c r="P266" s="196">
        <f t="shared" si="65"/>
        <v>2.2749999999999999</v>
      </c>
      <c r="Q266" s="196">
        <f t="shared" si="66"/>
        <v>4.7</v>
      </c>
      <c r="T266" s="196">
        <f t="shared" si="67"/>
        <v>31.392749999999999</v>
      </c>
      <c r="AM266" s="197">
        <f>N266*G266-T266</f>
        <v>54.280500000000011</v>
      </c>
      <c r="AN266" s="197">
        <f>O266*G266-U266</f>
        <v>4.9589999999999996</v>
      </c>
      <c r="AP266" s="197">
        <f>P266*G266-V266</f>
        <v>5.9377499999999994</v>
      </c>
      <c r="AQ266" s="197">
        <f>Q266*G266-W266</f>
        <v>12.266999999999999</v>
      </c>
      <c r="AZ266" s="197">
        <f>R266*G266-X266</f>
        <v>0</v>
      </c>
      <c r="BB266" s="196">
        <f t="shared" si="68"/>
        <v>37</v>
      </c>
    </row>
    <row r="267" spans="1:54" x14ac:dyDescent="0.2">
      <c r="A267" s="171">
        <v>382</v>
      </c>
      <c r="B267" s="171" t="s">
        <v>119</v>
      </c>
      <c r="C267" s="171" t="s">
        <v>112</v>
      </c>
      <c r="D267" s="10" t="s">
        <v>354</v>
      </c>
      <c r="E267" s="193" t="s">
        <v>1016</v>
      </c>
      <c r="F267" s="194">
        <v>42.6</v>
      </c>
      <c r="G267" s="200">
        <f t="shared" si="62"/>
        <v>2.61</v>
      </c>
      <c r="H267" s="208">
        <v>2610</v>
      </c>
      <c r="I267" s="10" t="s">
        <v>1035</v>
      </c>
      <c r="J267" s="10" t="s">
        <v>85</v>
      </c>
      <c r="K267" s="10" t="s">
        <v>1017</v>
      </c>
      <c r="L267" s="193"/>
      <c r="M267" s="196">
        <f t="shared" si="63"/>
        <v>41.7</v>
      </c>
      <c r="N267" s="196">
        <f t="shared" si="64"/>
        <v>32.825000000000003</v>
      </c>
      <c r="O267" s="196">
        <v>1.9</v>
      </c>
      <c r="P267" s="196">
        <f t="shared" si="65"/>
        <v>2.2749999999999999</v>
      </c>
      <c r="Q267" s="196">
        <f t="shared" si="66"/>
        <v>4.7</v>
      </c>
      <c r="T267" s="196">
        <f t="shared" si="67"/>
        <v>31.392749999999999</v>
      </c>
      <c r="BB267" s="196">
        <f t="shared" si="68"/>
        <v>37</v>
      </c>
    </row>
    <row r="268" spans="1:54" x14ac:dyDescent="0.2">
      <c r="A268" s="186">
        <v>422</v>
      </c>
      <c r="B268" s="171" t="s">
        <v>119</v>
      </c>
      <c r="C268" s="171" t="s">
        <v>113</v>
      </c>
      <c r="D268" s="10" t="s">
        <v>355</v>
      </c>
      <c r="E268" s="193" t="s">
        <v>673</v>
      </c>
      <c r="F268" s="213">
        <v>42.5</v>
      </c>
      <c r="G268" s="200">
        <f t="shared" si="62"/>
        <v>2.61</v>
      </c>
      <c r="H268" s="203">
        <v>2610</v>
      </c>
      <c r="I268" s="10" t="s">
        <v>1031</v>
      </c>
      <c r="J268" s="10" t="s">
        <v>85</v>
      </c>
      <c r="K268" s="10" t="s">
        <v>1032</v>
      </c>
      <c r="L268" s="193"/>
      <c r="M268" s="196">
        <f t="shared" si="63"/>
        <v>41.7</v>
      </c>
      <c r="N268" s="196">
        <f t="shared" si="64"/>
        <v>32.825000000000003</v>
      </c>
      <c r="O268" s="196">
        <v>1.9</v>
      </c>
      <c r="P268" s="196">
        <f t="shared" si="65"/>
        <v>2.2749999999999999</v>
      </c>
      <c r="Q268" s="196">
        <f t="shared" si="66"/>
        <v>4.7</v>
      </c>
      <c r="T268" s="196">
        <f t="shared" si="67"/>
        <v>31.392749999999999</v>
      </c>
      <c r="AP268" s="197">
        <f>N268*G268-T268</f>
        <v>54.280500000000011</v>
      </c>
      <c r="BB268" s="196">
        <f t="shared" si="68"/>
        <v>37</v>
      </c>
    </row>
    <row r="269" spans="1:54" x14ac:dyDescent="0.2">
      <c r="A269" s="186">
        <v>461</v>
      </c>
      <c r="B269" s="171" t="s">
        <v>119</v>
      </c>
      <c r="C269" s="171" t="s">
        <v>114</v>
      </c>
      <c r="D269" s="10" t="s">
        <v>356</v>
      </c>
      <c r="E269" s="193" t="s">
        <v>673</v>
      </c>
      <c r="F269" s="202">
        <v>42.5</v>
      </c>
      <c r="G269" s="200">
        <f t="shared" si="62"/>
        <v>2.61</v>
      </c>
      <c r="H269" s="203">
        <v>2610</v>
      </c>
      <c r="I269" s="10" t="s">
        <v>1031</v>
      </c>
      <c r="J269" s="10" t="s">
        <v>85</v>
      </c>
      <c r="K269" s="10" t="s">
        <v>1032</v>
      </c>
      <c r="L269" s="193"/>
      <c r="M269" s="196">
        <f t="shared" si="63"/>
        <v>41.7</v>
      </c>
      <c r="N269" s="196">
        <f t="shared" si="64"/>
        <v>32.825000000000003</v>
      </c>
      <c r="O269" s="196">
        <v>1.9</v>
      </c>
      <c r="P269" s="196">
        <f t="shared" si="65"/>
        <v>2.2749999999999999</v>
      </c>
      <c r="Q269" s="196">
        <f t="shared" si="66"/>
        <v>4.7</v>
      </c>
      <c r="T269" s="196">
        <f t="shared" si="67"/>
        <v>31.392749999999999</v>
      </c>
      <c r="AP269" s="197">
        <f>N269*G269-T269</f>
        <v>54.280500000000011</v>
      </c>
      <c r="AQ269" s="197">
        <f>O269*G269-U269</f>
        <v>4.9589999999999996</v>
      </c>
      <c r="BB269" s="196">
        <f t="shared" si="68"/>
        <v>37</v>
      </c>
    </row>
    <row r="270" spans="1:54" x14ac:dyDescent="0.2">
      <c r="A270" s="186">
        <v>501</v>
      </c>
      <c r="B270" s="171" t="s">
        <v>120</v>
      </c>
      <c r="C270" s="171" t="s">
        <v>112</v>
      </c>
      <c r="D270" s="10" t="s">
        <v>357</v>
      </c>
      <c r="E270" s="193" t="s">
        <v>673</v>
      </c>
      <c r="F270" s="202">
        <v>42.65</v>
      </c>
      <c r="G270" s="200">
        <f t="shared" si="62"/>
        <v>2.61</v>
      </c>
      <c r="H270" s="203">
        <v>2610</v>
      </c>
      <c r="I270" s="10" t="s">
        <v>1031</v>
      </c>
      <c r="J270" s="10" t="s">
        <v>85</v>
      </c>
      <c r="K270" s="10" t="s">
        <v>1032</v>
      </c>
      <c r="L270" s="212"/>
      <c r="M270" s="196">
        <f t="shared" si="63"/>
        <v>41.7</v>
      </c>
      <c r="N270" s="196">
        <f t="shared" si="64"/>
        <v>32.825000000000003</v>
      </c>
      <c r="O270" s="196">
        <v>1.9</v>
      </c>
      <c r="P270" s="196">
        <f t="shared" si="65"/>
        <v>2.2749999999999999</v>
      </c>
      <c r="Q270" s="196">
        <f t="shared" si="66"/>
        <v>4.7</v>
      </c>
      <c r="T270" s="196">
        <f t="shared" si="67"/>
        <v>31.392749999999999</v>
      </c>
      <c r="AQ270" s="197">
        <f>N270*G270-T270</f>
        <v>54.280500000000011</v>
      </c>
      <c r="AT270" s="197">
        <f>O270*G270-U270</f>
        <v>4.9589999999999996</v>
      </c>
      <c r="BB270" s="196">
        <f t="shared" si="68"/>
        <v>37</v>
      </c>
    </row>
    <row r="271" spans="1:54" x14ac:dyDescent="0.2">
      <c r="A271" s="186">
        <v>540</v>
      </c>
      <c r="B271" s="171" t="s">
        <v>120</v>
      </c>
      <c r="C271" s="171" t="s">
        <v>113</v>
      </c>
      <c r="D271" s="10" t="s">
        <v>358</v>
      </c>
      <c r="E271" s="193" t="s">
        <v>673</v>
      </c>
      <c r="F271" s="204">
        <v>42.5</v>
      </c>
      <c r="G271" s="200">
        <f t="shared" si="62"/>
        <v>2.61</v>
      </c>
      <c r="H271" s="203">
        <v>2610</v>
      </c>
      <c r="I271" s="10" t="s">
        <v>1031</v>
      </c>
      <c r="J271" s="10" t="s">
        <v>85</v>
      </c>
      <c r="K271" s="10" t="s">
        <v>1032</v>
      </c>
      <c r="L271" s="193"/>
      <c r="M271" s="196">
        <f t="shared" si="63"/>
        <v>41.7</v>
      </c>
      <c r="N271" s="196">
        <f t="shared" si="64"/>
        <v>32.825000000000003</v>
      </c>
      <c r="O271" s="196">
        <v>1.9</v>
      </c>
      <c r="P271" s="196">
        <f t="shared" si="65"/>
        <v>2.2749999999999999</v>
      </c>
      <c r="Q271" s="196">
        <f t="shared" si="66"/>
        <v>4.7</v>
      </c>
      <c r="T271" s="196">
        <f t="shared" si="67"/>
        <v>31.392749999999999</v>
      </c>
      <c r="AQ271" s="197">
        <f>N271*G271-T271</f>
        <v>54.280500000000011</v>
      </c>
      <c r="AT271" s="197">
        <f>O271*G271-U271</f>
        <v>4.9589999999999996</v>
      </c>
      <c r="BB271" s="196">
        <f t="shared" si="68"/>
        <v>37</v>
      </c>
    </row>
    <row r="272" spans="1:54" x14ac:dyDescent="0.2">
      <c r="A272" s="171">
        <v>109</v>
      </c>
      <c r="B272" s="171" t="s">
        <v>116</v>
      </c>
      <c r="C272" s="171" t="s">
        <v>112</v>
      </c>
      <c r="D272" s="193" t="s">
        <v>1015</v>
      </c>
      <c r="E272" s="193" t="s">
        <v>1016</v>
      </c>
      <c r="F272" s="194">
        <v>57.35</v>
      </c>
      <c r="G272" s="200">
        <f t="shared" si="62"/>
        <v>3</v>
      </c>
      <c r="H272" s="208">
        <v>3000</v>
      </c>
      <c r="I272" s="10" t="s">
        <v>605</v>
      </c>
      <c r="J272" s="10" t="s">
        <v>28</v>
      </c>
      <c r="K272" s="10" t="s">
        <v>1017</v>
      </c>
      <c r="L272" s="10"/>
      <c r="M272" s="196">
        <f>38.1+10.2-4-4.7</f>
        <v>39.599999999999994</v>
      </c>
      <c r="N272" s="196">
        <f>M272-O272-P272</f>
        <v>35.324999999999996</v>
      </c>
      <c r="O272" s="196">
        <v>1.9</v>
      </c>
      <c r="P272" s="196">
        <f>2.25+0.125</f>
        <v>2.375</v>
      </c>
      <c r="T272" s="196">
        <f>2.85*2.4+1.1*2.1+1.4*2.5</f>
        <v>12.65</v>
      </c>
      <c r="BB272" s="196">
        <f t="shared" ref="BB272:BB281" si="69">M272</f>
        <v>39.599999999999994</v>
      </c>
    </row>
    <row r="273" spans="1:54" x14ac:dyDescent="0.2">
      <c r="A273" s="186">
        <v>213</v>
      </c>
      <c r="B273" s="171" t="s">
        <v>116</v>
      </c>
      <c r="C273" s="171" t="s">
        <v>114</v>
      </c>
      <c r="D273" s="10" t="s">
        <v>1026</v>
      </c>
      <c r="E273" s="193" t="s">
        <v>1016</v>
      </c>
      <c r="F273" s="194">
        <v>43.5</v>
      </c>
      <c r="G273" s="200">
        <f t="shared" si="62"/>
        <v>3</v>
      </c>
      <c r="H273" s="211">
        <v>3000</v>
      </c>
      <c r="I273" s="10" t="s">
        <v>605</v>
      </c>
      <c r="J273" s="10" t="s">
        <v>28</v>
      </c>
      <c r="K273" s="10" t="s">
        <v>1017</v>
      </c>
      <c r="L273" s="193"/>
      <c r="M273" s="196">
        <f>30.9+10.3</f>
        <v>41.2</v>
      </c>
      <c r="N273" s="196">
        <f>M273-O273-P273</f>
        <v>36.925000000000004</v>
      </c>
      <c r="O273" s="196">
        <v>1.9</v>
      </c>
      <c r="P273" s="196">
        <f>2.25+0.125</f>
        <v>2.375</v>
      </c>
      <c r="T273" s="196">
        <f>1.4*2.5+1.1*2.1+5.15*2.4</f>
        <v>18.170000000000002</v>
      </c>
      <c r="AP273" s="197">
        <f>N273*G273-T273</f>
        <v>92.605000000000004</v>
      </c>
      <c r="BB273" s="196">
        <f t="shared" si="69"/>
        <v>41.2</v>
      </c>
    </row>
    <row r="274" spans="1:54" x14ac:dyDescent="0.2">
      <c r="A274" s="171">
        <v>148</v>
      </c>
      <c r="B274" s="171" t="s">
        <v>116</v>
      </c>
      <c r="C274" s="171" t="s">
        <v>113</v>
      </c>
      <c r="D274" s="10" t="s">
        <v>1021</v>
      </c>
      <c r="E274" s="193" t="s">
        <v>1022</v>
      </c>
      <c r="F274" s="198">
        <v>44.7</v>
      </c>
      <c r="G274" s="200">
        <f t="shared" si="62"/>
        <v>3</v>
      </c>
      <c r="H274" s="211">
        <v>3000</v>
      </c>
      <c r="I274" s="10" t="s">
        <v>1024</v>
      </c>
      <c r="J274" s="10" t="s">
        <v>28</v>
      </c>
      <c r="K274" s="10" t="s">
        <v>1025</v>
      </c>
      <c r="L274" s="193"/>
      <c r="M274" s="196">
        <f>32.3+10.25</f>
        <v>42.55</v>
      </c>
      <c r="N274" s="196">
        <f>M274-O274-P274</f>
        <v>38.274999999999999</v>
      </c>
      <c r="O274" s="196">
        <v>1.9</v>
      </c>
      <c r="P274" s="196">
        <f>2.25+0.125</f>
        <v>2.375</v>
      </c>
      <c r="T274" s="196">
        <f>1.1*2.1+1.15*2.5+1.4*2.5+4.05*2.4+5.15*3</f>
        <v>33.855000000000004</v>
      </c>
      <c r="AP274" s="197">
        <f>N274*2.67-T274</f>
        <v>68.339249999999993</v>
      </c>
      <c r="AR274" s="197">
        <f>O274*G274-U274</f>
        <v>5.6999999999999993</v>
      </c>
      <c r="BB274" s="196">
        <f t="shared" si="69"/>
        <v>42.55</v>
      </c>
    </row>
    <row r="275" spans="1:54" ht="60" x14ac:dyDescent="0.2">
      <c r="A275" s="186">
        <v>113</v>
      </c>
      <c r="B275" s="171" t="s">
        <v>116</v>
      </c>
      <c r="C275" s="171" t="s">
        <v>112</v>
      </c>
      <c r="D275" s="209" t="s">
        <v>276</v>
      </c>
      <c r="E275" s="193" t="s">
        <v>1325</v>
      </c>
      <c r="F275" s="194">
        <v>154.35</v>
      </c>
      <c r="G275" s="194"/>
      <c r="H275" s="208">
        <v>3000</v>
      </c>
      <c r="I275" s="10" t="s">
        <v>1467</v>
      </c>
      <c r="J275" s="10" t="s">
        <v>31</v>
      </c>
      <c r="K275" s="210" t="s">
        <v>32</v>
      </c>
      <c r="L275" s="10" t="s">
        <v>33</v>
      </c>
      <c r="M275" s="196">
        <f>84.3-3.4+24.4+23.4+1.26*5</f>
        <v>135</v>
      </c>
      <c r="N275" s="196">
        <v>0.85</v>
      </c>
      <c r="O275" s="196">
        <f>1.7*2+0.9+2.45+3.15+1.9+2.4+2.4+1.26*5</f>
        <v>22.900000000000002</v>
      </c>
      <c r="P275" s="196">
        <f>M275-N275-O275</f>
        <v>111.25</v>
      </c>
      <c r="U275" s="196">
        <f>1.1*2.1</f>
        <v>2.3100000000000005</v>
      </c>
      <c r="V275" s="196">
        <f>(80.9-11.8-0.85+1.85+4.5+3.2+3.15)*2.4+1.1*2.1</f>
        <v>196.59000000000003</v>
      </c>
      <c r="AP275" s="197">
        <f>N275*G275-T275</f>
        <v>0</v>
      </c>
      <c r="BB275" s="196">
        <f t="shared" si="69"/>
        <v>135</v>
      </c>
    </row>
    <row r="276" spans="1:54" s="197" customFormat="1" x14ac:dyDescent="0.2">
      <c r="A276" s="171">
        <v>154</v>
      </c>
      <c r="B276" s="171" t="s">
        <v>116</v>
      </c>
      <c r="C276" s="171" t="s">
        <v>113</v>
      </c>
      <c r="D276" s="10" t="s">
        <v>1177</v>
      </c>
      <c r="E276" s="193" t="s">
        <v>1178</v>
      </c>
      <c r="F276" s="198">
        <v>13.3</v>
      </c>
      <c r="G276" s="200">
        <f t="shared" ref="G276:G281" si="70">H276/1000</f>
        <v>3</v>
      </c>
      <c r="H276" s="220">
        <v>3000</v>
      </c>
      <c r="I276" s="221" t="s">
        <v>244</v>
      </c>
      <c r="J276" s="10" t="s">
        <v>36</v>
      </c>
      <c r="K276" s="10" t="s">
        <v>1098</v>
      </c>
      <c r="L276" s="193"/>
      <c r="M276" s="196">
        <v>16</v>
      </c>
      <c r="N276" s="196">
        <v>5</v>
      </c>
      <c r="O276" s="196">
        <v>11</v>
      </c>
      <c r="P276" s="196"/>
      <c r="Q276" s="196"/>
      <c r="R276" s="196"/>
      <c r="S276" s="196"/>
      <c r="T276" s="196">
        <f>5*2.03</f>
        <v>10.149999999999999</v>
      </c>
      <c r="U276" s="196">
        <f>4*2.1</f>
        <v>8.4</v>
      </c>
      <c r="V276" s="196"/>
      <c r="W276" s="196"/>
      <c r="X276" s="196"/>
      <c r="Y276" s="171"/>
      <c r="AP276" s="197">
        <f>N276*2.67-T276</f>
        <v>3.2000000000000011</v>
      </c>
      <c r="AQ276" s="197">
        <f>O276*2.4-U276</f>
        <v>18</v>
      </c>
      <c r="AY276" s="197">
        <f>P276*2.67-V276</f>
        <v>0</v>
      </c>
      <c r="BA276" s="171"/>
      <c r="BB276" s="196">
        <f t="shared" si="69"/>
        <v>16</v>
      </c>
    </row>
    <row r="277" spans="1:54" s="197" customFormat="1" x14ac:dyDescent="0.2">
      <c r="A277" s="186">
        <v>122</v>
      </c>
      <c r="B277" s="171" t="s">
        <v>116</v>
      </c>
      <c r="C277" s="171" t="s">
        <v>112</v>
      </c>
      <c r="D277" s="193" t="s">
        <v>1043</v>
      </c>
      <c r="E277" s="193" t="s">
        <v>1044</v>
      </c>
      <c r="F277" s="194">
        <v>20.100000000000001</v>
      </c>
      <c r="G277" s="200">
        <f t="shared" si="70"/>
        <v>3</v>
      </c>
      <c r="H277" s="208">
        <v>3000</v>
      </c>
      <c r="I277" s="10" t="s">
        <v>606</v>
      </c>
      <c r="J277" s="10" t="s">
        <v>40</v>
      </c>
      <c r="K277" s="10" t="s">
        <v>738</v>
      </c>
      <c r="L277" s="10"/>
      <c r="M277" s="196">
        <v>20</v>
      </c>
      <c r="N277" s="196">
        <f>3.2</f>
        <v>3.2</v>
      </c>
      <c r="O277" s="196">
        <f>M277-N277</f>
        <v>16.8</v>
      </c>
      <c r="P277" s="196">
        <v>2.2000000000000002</v>
      </c>
      <c r="Q277" s="196"/>
      <c r="R277" s="196"/>
      <c r="S277" s="196"/>
      <c r="T277" s="196">
        <f>3.2*1.63</f>
        <v>5.2160000000000002</v>
      </c>
      <c r="U277" s="196">
        <f>3.2*2.4</f>
        <v>7.68</v>
      </c>
      <c r="V277" s="196"/>
      <c r="W277" s="196"/>
      <c r="X277" s="196"/>
      <c r="Y277" s="171"/>
      <c r="AQ277" s="197">
        <f>N277*G277-T277</f>
        <v>4.3840000000000012</v>
      </c>
      <c r="BA277" s="171"/>
      <c r="BB277" s="196">
        <f t="shared" si="69"/>
        <v>20</v>
      </c>
    </row>
    <row r="278" spans="1:54" s="197" customFormat="1" x14ac:dyDescent="0.2">
      <c r="A278" s="186">
        <v>125</v>
      </c>
      <c r="B278" s="171" t="s">
        <v>116</v>
      </c>
      <c r="C278" s="171" t="s">
        <v>112</v>
      </c>
      <c r="D278" s="193" t="s">
        <v>1049</v>
      </c>
      <c r="E278" s="193" t="s">
        <v>1044</v>
      </c>
      <c r="F278" s="194">
        <v>21.8</v>
      </c>
      <c r="G278" s="200">
        <f t="shared" si="70"/>
        <v>3</v>
      </c>
      <c r="H278" s="208">
        <v>3000</v>
      </c>
      <c r="I278" s="10" t="s">
        <v>606</v>
      </c>
      <c r="J278" s="10" t="s">
        <v>40</v>
      </c>
      <c r="K278" s="10" t="s">
        <v>738</v>
      </c>
      <c r="L278" s="10"/>
      <c r="M278" s="196">
        <v>20.7</v>
      </c>
      <c r="N278" s="196">
        <f>3.2</f>
        <v>3.2</v>
      </c>
      <c r="O278" s="196">
        <f>M278-N278</f>
        <v>17.5</v>
      </c>
      <c r="P278" s="196">
        <f>2.2</f>
        <v>2.2000000000000002</v>
      </c>
      <c r="Q278" s="196"/>
      <c r="R278" s="196"/>
      <c r="S278" s="196"/>
      <c r="T278" s="196">
        <f>3.2*2.05</f>
        <v>6.56</v>
      </c>
      <c r="U278" s="196">
        <f>3.2*2.4</f>
        <v>7.68</v>
      </c>
      <c r="V278" s="196"/>
      <c r="W278" s="196"/>
      <c r="X278" s="196"/>
      <c r="Y278" s="171"/>
      <c r="AP278" s="197">
        <f>N278*2.67-T278</f>
        <v>1.9840000000000009</v>
      </c>
      <c r="AQ278" s="197">
        <f>O278*2.4-U278</f>
        <v>34.32</v>
      </c>
      <c r="BA278" s="171"/>
      <c r="BB278" s="196">
        <f t="shared" si="69"/>
        <v>20.7</v>
      </c>
    </row>
    <row r="279" spans="1:54" s="197" customFormat="1" ht="30" x14ac:dyDescent="0.2">
      <c r="A279" s="186">
        <v>252</v>
      </c>
      <c r="B279" s="171" t="s">
        <v>116</v>
      </c>
      <c r="C279" s="171" t="s">
        <v>117</v>
      </c>
      <c r="D279" s="10" t="s">
        <v>1052</v>
      </c>
      <c r="E279" s="201" t="s">
        <v>1053</v>
      </c>
      <c r="F279" s="194">
        <v>31.4</v>
      </c>
      <c r="G279" s="200">
        <f t="shared" si="70"/>
        <v>3</v>
      </c>
      <c r="H279" s="208">
        <v>3000</v>
      </c>
      <c r="I279" s="10" t="s">
        <v>606</v>
      </c>
      <c r="J279" s="10" t="s">
        <v>80</v>
      </c>
      <c r="K279" s="10" t="s">
        <v>778</v>
      </c>
      <c r="L279" s="10"/>
      <c r="M279" s="196">
        <v>23.1</v>
      </c>
      <c r="N279" s="196">
        <f>M279/2</f>
        <v>11.55</v>
      </c>
      <c r="O279" s="196">
        <f>M279/2</f>
        <v>11.55</v>
      </c>
      <c r="P279" s="196"/>
      <c r="Q279" s="196"/>
      <c r="R279" s="196"/>
      <c r="S279" s="196"/>
      <c r="T279" s="196">
        <f>4.35*3</f>
        <v>13.049999999999999</v>
      </c>
      <c r="U279" s="196">
        <f>0.8*2.1</f>
        <v>1.6800000000000002</v>
      </c>
      <c r="V279" s="196"/>
      <c r="W279" s="196"/>
      <c r="X279" s="196"/>
      <c r="Y279" s="171"/>
      <c r="AP279" s="197">
        <f>N279*2.67-T279</f>
        <v>17.788499999999999</v>
      </c>
      <c r="AQ279" s="197">
        <f>O279*2.4-U279</f>
        <v>26.040000000000003</v>
      </c>
      <c r="AY279" s="197">
        <f>P279*2.67-V279</f>
        <v>0</v>
      </c>
      <c r="BA279" s="171"/>
      <c r="BB279" s="196">
        <f t="shared" si="69"/>
        <v>23.1</v>
      </c>
    </row>
    <row r="280" spans="1:54" s="197" customFormat="1" x14ac:dyDescent="0.2">
      <c r="A280" s="171">
        <v>124</v>
      </c>
      <c r="B280" s="171" t="s">
        <v>116</v>
      </c>
      <c r="C280" s="171" t="s">
        <v>112</v>
      </c>
      <c r="D280" s="193" t="s">
        <v>1047</v>
      </c>
      <c r="E280" s="193" t="s">
        <v>1048</v>
      </c>
      <c r="F280" s="194">
        <v>65.650000000000006</v>
      </c>
      <c r="G280" s="200">
        <f t="shared" si="70"/>
        <v>3</v>
      </c>
      <c r="H280" s="208">
        <v>3000</v>
      </c>
      <c r="I280" s="10" t="s">
        <v>606</v>
      </c>
      <c r="J280" s="10" t="s">
        <v>280</v>
      </c>
      <c r="K280" s="10" t="s">
        <v>738</v>
      </c>
      <c r="L280" s="10"/>
      <c r="M280" s="196">
        <v>33.700000000000003</v>
      </c>
      <c r="N280" s="196">
        <v>9.65</v>
      </c>
      <c r="O280" s="196">
        <f>M280-N280</f>
        <v>24.050000000000004</v>
      </c>
      <c r="P280" s="196">
        <v>2.2000000000000002</v>
      </c>
      <c r="Q280" s="196"/>
      <c r="R280" s="196"/>
      <c r="S280" s="196"/>
      <c r="T280" s="196">
        <f>9.65*2.05</f>
        <v>19.782499999999999</v>
      </c>
      <c r="U280" s="196">
        <f>9.65*3</f>
        <v>28.950000000000003</v>
      </c>
      <c r="V280" s="196"/>
      <c r="W280" s="196"/>
      <c r="X280" s="196"/>
      <c r="Y280" s="171"/>
      <c r="AP280" s="197">
        <f>N280*2.67-T280</f>
        <v>5.9830000000000005</v>
      </c>
      <c r="AQ280" s="197">
        <f>O280*2.4-U280</f>
        <v>28.770000000000003</v>
      </c>
      <c r="AY280" s="197">
        <f>P280*2.67-V280</f>
        <v>5.8740000000000006</v>
      </c>
      <c r="BA280" s="171"/>
      <c r="BB280" s="196">
        <f t="shared" si="69"/>
        <v>33.700000000000003</v>
      </c>
    </row>
    <row r="281" spans="1:54" s="197" customFormat="1" x14ac:dyDescent="0.2">
      <c r="A281" s="171">
        <v>217</v>
      </c>
      <c r="B281" s="171" t="s">
        <v>116</v>
      </c>
      <c r="C281" s="171" t="s">
        <v>114</v>
      </c>
      <c r="D281" s="10" t="s">
        <v>1050</v>
      </c>
      <c r="E281" s="193" t="s">
        <v>1051</v>
      </c>
      <c r="F281" s="194">
        <v>45.85</v>
      </c>
      <c r="G281" s="200">
        <f t="shared" si="70"/>
        <v>3</v>
      </c>
      <c r="H281" s="208">
        <v>3000</v>
      </c>
      <c r="I281" s="10" t="s">
        <v>606</v>
      </c>
      <c r="J281" s="10" t="s">
        <v>40</v>
      </c>
      <c r="K281" s="210" t="s">
        <v>32</v>
      </c>
      <c r="L281" s="193"/>
      <c r="M281" s="196">
        <v>34.700000000000003</v>
      </c>
      <c r="N281" s="196">
        <f>6.8+9.9</f>
        <v>16.7</v>
      </c>
      <c r="O281" s="196">
        <f>M281-P281-N281</f>
        <v>14.200000000000003</v>
      </c>
      <c r="P281" s="196">
        <v>3.8</v>
      </c>
      <c r="Q281" s="196"/>
      <c r="R281" s="196"/>
      <c r="S281" s="196"/>
      <c r="T281" s="196">
        <f>6.7*2.05</f>
        <v>13.734999999999999</v>
      </c>
      <c r="U281" s="196"/>
      <c r="V281" s="196"/>
      <c r="W281" s="196"/>
      <c r="X281" s="196"/>
      <c r="Y281" s="171"/>
      <c r="AP281" s="197">
        <f>N281*2.67-T281</f>
        <v>30.853999999999999</v>
      </c>
      <c r="AQ281" s="197">
        <f>O281*2.4-U281</f>
        <v>34.080000000000005</v>
      </c>
      <c r="BA281" s="171"/>
      <c r="BB281" s="196">
        <f t="shared" si="69"/>
        <v>34.700000000000003</v>
      </c>
    </row>
    <row r="282" spans="1:54" s="197" customFormat="1" ht="30" x14ac:dyDescent="0.2">
      <c r="A282" s="186">
        <v>159</v>
      </c>
      <c r="B282" s="171" t="s">
        <v>116</v>
      </c>
      <c r="C282" s="171" t="s">
        <v>113</v>
      </c>
      <c r="D282" s="216" t="s">
        <v>281</v>
      </c>
      <c r="E282" s="193" t="s">
        <v>1339</v>
      </c>
      <c r="F282" s="198">
        <v>63.75</v>
      </c>
      <c r="G282" s="198"/>
      <c r="H282" s="211">
        <v>3000</v>
      </c>
      <c r="I282" s="199" t="s">
        <v>244</v>
      </c>
      <c r="J282" s="10" t="s">
        <v>54</v>
      </c>
      <c r="K282" s="199" t="s">
        <v>55</v>
      </c>
      <c r="L282" s="193"/>
      <c r="M282" s="196">
        <f>64.1+1.26*2+1.7-6.7</f>
        <v>61.61999999999999</v>
      </c>
      <c r="N282" s="196">
        <f>1.7+11.6+0.9+0.25+0.6+0.3*2</f>
        <v>15.649999999999999</v>
      </c>
      <c r="O282" s="196">
        <f>4.2+9.1+0.6+1.26*2</f>
        <v>16.420000000000002</v>
      </c>
      <c r="P282" s="196">
        <f>7.6+3.2+0.65+0.55</f>
        <v>12.000000000000002</v>
      </c>
      <c r="Q282" s="196">
        <f>0.6*2</f>
        <v>1.2</v>
      </c>
      <c r="R282" s="196">
        <f>M282-N282-O282-Q282</f>
        <v>28.349999999999991</v>
      </c>
      <c r="S282" s="196"/>
      <c r="T282" s="196">
        <f>11.6*2.53</f>
        <v>29.347999999999995</v>
      </c>
      <c r="U282" s="196">
        <f>1.49*2.655+0.9*2.1</f>
        <v>5.8459500000000002</v>
      </c>
      <c r="V282" s="196"/>
      <c r="W282" s="196"/>
      <c r="X282" s="196">
        <f>0.9*2.1+1*2.1+0.9*2.1+0.9*2.1</f>
        <v>7.7700000000000014</v>
      </c>
      <c r="Y282" s="171"/>
      <c r="AP282" s="197">
        <f>N282*2.67-T282</f>
        <v>12.437499999999996</v>
      </c>
      <c r="AQ282" s="197">
        <f>O282*2.4-U282</f>
        <v>33.562049999999999</v>
      </c>
      <c r="BA282" s="171"/>
      <c r="BB282" s="196">
        <f>61.62-25.65</f>
        <v>35.97</v>
      </c>
    </row>
    <row r="283" spans="1:54" s="197" customFormat="1" x14ac:dyDescent="0.2">
      <c r="A283" s="186">
        <v>123</v>
      </c>
      <c r="B283" s="171" t="s">
        <v>116</v>
      </c>
      <c r="C283" s="171" t="s">
        <v>112</v>
      </c>
      <c r="D283" s="193" t="s">
        <v>1045</v>
      </c>
      <c r="E283" s="193" t="s">
        <v>1046</v>
      </c>
      <c r="F283" s="194">
        <v>61.8</v>
      </c>
      <c r="G283" s="200">
        <f t="shared" ref="G283:G291" si="71">H283/1000</f>
        <v>3</v>
      </c>
      <c r="H283" s="208">
        <v>3000</v>
      </c>
      <c r="I283" s="10" t="s">
        <v>606</v>
      </c>
      <c r="J283" s="10" t="s">
        <v>36</v>
      </c>
      <c r="K283" s="210" t="s">
        <v>32</v>
      </c>
      <c r="L283" s="10"/>
      <c r="M283" s="196">
        <v>37.299999999999997</v>
      </c>
      <c r="N283" s="196">
        <f>10.125</f>
        <v>10.125</v>
      </c>
      <c r="O283" s="196">
        <f>M283-N283</f>
        <v>27.174999999999997</v>
      </c>
      <c r="P283" s="196"/>
      <c r="Q283" s="196"/>
      <c r="R283" s="196"/>
      <c r="S283" s="196"/>
      <c r="T283" s="196">
        <f>10.125*1.63</f>
        <v>16.50375</v>
      </c>
      <c r="U283" s="196">
        <f>3.25*3</f>
        <v>9.75</v>
      </c>
      <c r="V283" s="196"/>
      <c r="W283" s="196"/>
      <c r="X283" s="196"/>
      <c r="Y283" s="171"/>
      <c r="BA283" s="171"/>
      <c r="BB283" s="196">
        <f>M283</f>
        <v>37.299999999999997</v>
      </c>
    </row>
    <row r="284" spans="1:54" s="197" customFormat="1" x14ac:dyDescent="0.2">
      <c r="A284" s="171">
        <v>121</v>
      </c>
      <c r="B284" s="171" t="s">
        <v>116</v>
      </c>
      <c r="C284" s="171" t="s">
        <v>112</v>
      </c>
      <c r="D284" s="193" t="s">
        <v>1175</v>
      </c>
      <c r="E284" s="193" t="s">
        <v>1176</v>
      </c>
      <c r="F284" s="194">
        <v>74.099999999999994</v>
      </c>
      <c r="G284" s="200">
        <f t="shared" si="71"/>
        <v>3</v>
      </c>
      <c r="H284" s="208">
        <v>3000</v>
      </c>
      <c r="I284" s="210" t="s">
        <v>244</v>
      </c>
      <c r="J284" s="10" t="s">
        <v>40</v>
      </c>
      <c r="K284" s="10" t="s">
        <v>738</v>
      </c>
      <c r="L284" s="10"/>
      <c r="M284" s="196">
        <v>37.799999999999997</v>
      </c>
      <c r="N284" s="196">
        <f>6.7+5.15</f>
        <v>11.850000000000001</v>
      </c>
      <c r="O284" s="196">
        <f>M284-N284</f>
        <v>25.949999999999996</v>
      </c>
      <c r="P284" s="196">
        <f>5</f>
        <v>5</v>
      </c>
      <c r="Q284" s="196"/>
      <c r="R284" s="196"/>
      <c r="S284" s="196"/>
      <c r="T284" s="196">
        <f>6.7*2.4+5.15*1.63</f>
        <v>24.474499999999999</v>
      </c>
      <c r="U284" s="196">
        <f>5*3</f>
        <v>15</v>
      </c>
      <c r="V284" s="196"/>
      <c r="W284" s="196"/>
      <c r="X284" s="196"/>
      <c r="Y284" s="171"/>
      <c r="AP284" s="197">
        <f>N284*2.67-T284</f>
        <v>7.1650000000000027</v>
      </c>
      <c r="AQ284" s="197">
        <f>O284*2.4-U284</f>
        <v>47.279999999999987</v>
      </c>
      <c r="AY284" s="197">
        <f>P284*2.67-V284</f>
        <v>13.35</v>
      </c>
      <c r="BA284" s="171"/>
      <c r="BB284" s="196">
        <f>M284</f>
        <v>37.799999999999997</v>
      </c>
    </row>
    <row r="285" spans="1:54" s="197" customFormat="1" x14ac:dyDescent="0.2">
      <c r="A285" s="186">
        <v>248</v>
      </c>
      <c r="B285" s="171" t="s">
        <v>116</v>
      </c>
      <c r="C285" s="171" t="s">
        <v>117</v>
      </c>
      <c r="D285" s="10" t="s">
        <v>1090</v>
      </c>
      <c r="E285" s="193" t="s">
        <v>1091</v>
      </c>
      <c r="F285" s="194">
        <v>3</v>
      </c>
      <c r="G285" s="200">
        <f t="shared" si="71"/>
        <v>3</v>
      </c>
      <c r="H285" s="208">
        <v>3000</v>
      </c>
      <c r="I285" s="210" t="s">
        <v>77</v>
      </c>
      <c r="J285" s="189" t="s">
        <v>80</v>
      </c>
      <c r="K285" s="10" t="s">
        <v>738</v>
      </c>
      <c r="L285" s="10"/>
      <c r="M285" s="196">
        <v>7</v>
      </c>
      <c r="N285" s="196">
        <v>1.7</v>
      </c>
      <c r="O285" s="196">
        <f>M285-N285</f>
        <v>5.3</v>
      </c>
      <c r="P285" s="196"/>
      <c r="Q285" s="196"/>
      <c r="R285" s="196"/>
      <c r="S285" s="196"/>
      <c r="T285" s="196"/>
      <c r="U285" s="196">
        <f>(1.735+1.7)*2.1</f>
        <v>7.2135000000000007</v>
      </c>
      <c r="V285" s="196"/>
      <c r="W285" s="196"/>
      <c r="X285" s="196"/>
      <c r="Y285" s="171"/>
      <c r="BA285" s="171"/>
      <c r="BB285" s="196">
        <f>M285</f>
        <v>7</v>
      </c>
    </row>
    <row r="286" spans="1:54" s="197" customFormat="1" x14ac:dyDescent="0.2">
      <c r="A286" s="186">
        <v>245</v>
      </c>
      <c r="B286" s="171" t="s">
        <v>116</v>
      </c>
      <c r="C286" s="171" t="s">
        <v>117</v>
      </c>
      <c r="D286" s="10" t="s">
        <v>1086</v>
      </c>
      <c r="E286" s="193" t="s">
        <v>1087</v>
      </c>
      <c r="F286" s="194">
        <v>5.75</v>
      </c>
      <c r="G286" s="200">
        <f t="shared" si="71"/>
        <v>3</v>
      </c>
      <c r="H286" s="208">
        <v>3000</v>
      </c>
      <c r="I286" s="210" t="s">
        <v>77</v>
      </c>
      <c r="J286" s="189" t="s">
        <v>78</v>
      </c>
      <c r="K286" s="10" t="s">
        <v>738</v>
      </c>
      <c r="L286" s="10"/>
      <c r="M286" s="196">
        <f>10.6-2.95</f>
        <v>7.6499999999999995</v>
      </c>
      <c r="N286" s="196">
        <f>M286</f>
        <v>7.6499999999999995</v>
      </c>
      <c r="O286" s="196"/>
      <c r="P286" s="196"/>
      <c r="Q286" s="196"/>
      <c r="R286" s="196"/>
      <c r="S286" s="196"/>
      <c r="T286" s="196">
        <f>(3.4+1.9)*2.1</f>
        <v>11.13</v>
      </c>
      <c r="U286" s="196"/>
      <c r="V286" s="196"/>
      <c r="W286" s="196"/>
      <c r="X286" s="196"/>
      <c r="Y286" s="171"/>
      <c r="AG286" s="197">
        <f>N286*G286-T286</f>
        <v>11.819999999999999</v>
      </c>
      <c r="AP286" s="197">
        <f>O286*G286-U286</f>
        <v>0</v>
      </c>
      <c r="AQ286" s="197">
        <f>P286*G286-V286</f>
        <v>0</v>
      </c>
      <c r="AT286" s="197">
        <f>Q286*G286-W286</f>
        <v>0</v>
      </c>
      <c r="BA286" s="171"/>
      <c r="BB286" s="196">
        <f>M286</f>
        <v>7.6499999999999995</v>
      </c>
    </row>
    <row r="287" spans="1:54" s="197" customFormat="1" x14ac:dyDescent="0.2">
      <c r="A287" s="171">
        <v>244</v>
      </c>
      <c r="B287" s="171" t="s">
        <v>116</v>
      </c>
      <c r="C287" s="171" t="s">
        <v>117</v>
      </c>
      <c r="D287" s="10" t="s">
        <v>1084</v>
      </c>
      <c r="E287" s="193" t="s">
        <v>1085</v>
      </c>
      <c r="F287" s="194">
        <v>5.15</v>
      </c>
      <c r="G287" s="200">
        <f t="shared" si="71"/>
        <v>3</v>
      </c>
      <c r="H287" s="208">
        <v>3000</v>
      </c>
      <c r="I287" s="210" t="s">
        <v>77</v>
      </c>
      <c r="J287" s="189" t="s">
        <v>34</v>
      </c>
      <c r="K287" s="10" t="s">
        <v>738</v>
      </c>
      <c r="L287" s="10"/>
      <c r="M287" s="196">
        <v>9.3000000000000007</v>
      </c>
      <c r="N287" s="196">
        <f>M287</f>
        <v>9.3000000000000007</v>
      </c>
      <c r="O287" s="196"/>
      <c r="P287" s="196"/>
      <c r="Q287" s="196"/>
      <c r="R287" s="196"/>
      <c r="S287" s="196"/>
      <c r="T287" s="196">
        <f>M287*2.1</f>
        <v>19.53</v>
      </c>
      <c r="U287" s="196"/>
      <c r="V287" s="196"/>
      <c r="W287" s="196"/>
      <c r="X287" s="196"/>
      <c r="Y287" s="171"/>
      <c r="AP287" s="197">
        <f>N287*G287-T287</f>
        <v>8.370000000000001</v>
      </c>
      <c r="BA287" s="171"/>
      <c r="BB287" s="196">
        <f>M287</f>
        <v>9.3000000000000007</v>
      </c>
    </row>
    <row r="288" spans="1:54" s="197" customFormat="1" x14ac:dyDescent="0.2">
      <c r="A288" s="171">
        <v>136</v>
      </c>
      <c r="B288" s="171" t="s">
        <v>116</v>
      </c>
      <c r="C288" s="171" t="s">
        <v>112</v>
      </c>
      <c r="D288" s="193" t="s">
        <v>1074</v>
      </c>
      <c r="E288" s="193" t="s">
        <v>1075</v>
      </c>
      <c r="F288" s="194">
        <v>5.05</v>
      </c>
      <c r="G288" s="200">
        <f t="shared" si="71"/>
        <v>2.4</v>
      </c>
      <c r="H288" s="208">
        <v>2400</v>
      </c>
      <c r="I288" s="10" t="s">
        <v>1056</v>
      </c>
      <c r="J288" s="10" t="s">
        <v>46</v>
      </c>
      <c r="K288" s="10" t="s">
        <v>738</v>
      </c>
      <c r="L288" s="10"/>
      <c r="M288" s="196">
        <v>9.35</v>
      </c>
      <c r="N288" s="196">
        <f>M288</f>
        <v>9.35</v>
      </c>
      <c r="O288" s="196"/>
      <c r="P288" s="196"/>
      <c r="Q288" s="196"/>
      <c r="R288" s="196"/>
      <c r="S288" s="196"/>
      <c r="T288" s="196">
        <f>1.2*2.4+3.15*2.4</f>
        <v>10.44</v>
      </c>
      <c r="U288" s="196"/>
      <c r="V288" s="196"/>
      <c r="W288" s="196"/>
      <c r="X288" s="196"/>
      <c r="Y288" s="171"/>
      <c r="AL288" s="197">
        <f>N288*G288-T288</f>
        <v>11.999999999999998</v>
      </c>
      <c r="AP288" s="197">
        <f>O288*G288-U288</f>
        <v>0</v>
      </c>
      <c r="AR288" s="197">
        <f>P288*G288-V288</f>
        <v>0</v>
      </c>
      <c r="BA288" s="171"/>
      <c r="BB288" s="196">
        <f>N288</f>
        <v>9.35</v>
      </c>
    </row>
    <row r="289" spans="1:54" s="197" customFormat="1" x14ac:dyDescent="0.2">
      <c r="A289" s="186">
        <v>126</v>
      </c>
      <c r="B289" s="171" t="s">
        <v>116</v>
      </c>
      <c r="C289" s="171" t="s">
        <v>112</v>
      </c>
      <c r="D289" s="193" t="s">
        <v>1054</v>
      </c>
      <c r="E289" s="193" t="s">
        <v>1055</v>
      </c>
      <c r="F289" s="194">
        <v>8.6</v>
      </c>
      <c r="G289" s="200">
        <f t="shared" si="71"/>
        <v>3</v>
      </c>
      <c r="H289" s="208">
        <v>3000</v>
      </c>
      <c r="I289" s="10" t="s">
        <v>1056</v>
      </c>
      <c r="J289" s="10" t="s">
        <v>42</v>
      </c>
      <c r="K289" s="10" t="s">
        <v>738</v>
      </c>
      <c r="L289" s="10"/>
      <c r="M289" s="196">
        <v>11.8</v>
      </c>
      <c r="N289" s="196">
        <f>M289</f>
        <v>11.8</v>
      </c>
      <c r="O289" s="196">
        <f>M289</f>
        <v>11.8</v>
      </c>
      <c r="P289" s="196"/>
      <c r="Q289" s="196"/>
      <c r="R289" s="196"/>
      <c r="S289" s="196"/>
      <c r="T289" s="196">
        <f>3.2*2.4+1.25*3+1.25*2.4</f>
        <v>14.43</v>
      </c>
      <c r="U289" s="196">
        <f>3.2*2.4+1.25*3+1.25*2.4</f>
        <v>14.43</v>
      </c>
      <c r="V289" s="196"/>
      <c r="W289" s="196"/>
      <c r="X289" s="196"/>
      <c r="Y289" s="171"/>
      <c r="BA289" s="171"/>
      <c r="BB289" s="196">
        <f>M289</f>
        <v>11.8</v>
      </c>
    </row>
    <row r="290" spans="1:54" s="197" customFormat="1" x14ac:dyDescent="0.2">
      <c r="A290" s="171">
        <v>127</v>
      </c>
      <c r="B290" s="171" t="s">
        <v>116</v>
      </c>
      <c r="C290" s="171" t="s">
        <v>112</v>
      </c>
      <c r="D290" s="193" t="s">
        <v>1057</v>
      </c>
      <c r="E290" s="193" t="s">
        <v>1058</v>
      </c>
      <c r="F290" s="194">
        <v>12.05</v>
      </c>
      <c r="G290" s="200">
        <f t="shared" si="71"/>
        <v>3</v>
      </c>
      <c r="H290" s="208">
        <v>3000</v>
      </c>
      <c r="I290" s="10" t="s">
        <v>1056</v>
      </c>
      <c r="J290" s="10" t="s">
        <v>43</v>
      </c>
      <c r="K290" s="10" t="s">
        <v>778</v>
      </c>
      <c r="L290" s="10"/>
      <c r="M290" s="196">
        <v>14</v>
      </c>
      <c r="N290" s="196">
        <v>3.0249999999999999</v>
      </c>
      <c r="O290" s="196">
        <f>M290-N290</f>
        <v>10.975</v>
      </c>
      <c r="P290" s="196"/>
      <c r="Q290" s="196"/>
      <c r="R290" s="196"/>
      <c r="S290" s="196"/>
      <c r="T290" s="196">
        <f>3.025*2.05</f>
        <v>6.201249999999999</v>
      </c>
      <c r="U290" s="196">
        <f>1.25*2.4</f>
        <v>3</v>
      </c>
      <c r="V290" s="196"/>
      <c r="W290" s="196"/>
      <c r="X290" s="196"/>
      <c r="Y290" s="171"/>
      <c r="BA290" s="171"/>
      <c r="BB290" s="196">
        <f>M290</f>
        <v>14</v>
      </c>
    </row>
    <row r="291" spans="1:54" s="197" customFormat="1" ht="45" x14ac:dyDescent="0.2">
      <c r="A291" s="186">
        <v>218</v>
      </c>
      <c r="B291" s="171" t="s">
        <v>116</v>
      </c>
      <c r="C291" s="171" t="s">
        <v>114</v>
      </c>
      <c r="D291" s="216" t="s">
        <v>300</v>
      </c>
      <c r="E291" s="193" t="s">
        <v>1079</v>
      </c>
      <c r="F291" s="194">
        <v>10.9</v>
      </c>
      <c r="G291" s="200">
        <f t="shared" si="71"/>
        <v>2.4</v>
      </c>
      <c r="H291" s="208">
        <v>2400</v>
      </c>
      <c r="I291" s="10" t="s">
        <v>1056</v>
      </c>
      <c r="J291" s="10" t="s">
        <v>303</v>
      </c>
      <c r="K291" s="10" t="s">
        <v>738</v>
      </c>
      <c r="L291" s="193"/>
      <c r="M291" s="196">
        <v>26.5</v>
      </c>
      <c r="N291" s="196">
        <f>0.4+0.2</f>
        <v>0.60000000000000009</v>
      </c>
      <c r="O291" s="196">
        <f>1.65*4+1.85+1.825</f>
        <v>10.274999999999999</v>
      </c>
      <c r="P291" s="196">
        <f>M291-O291-N291</f>
        <v>15.625000000000002</v>
      </c>
      <c r="Q291" s="196"/>
      <c r="R291" s="196"/>
      <c r="S291" s="196"/>
      <c r="T291" s="196"/>
      <c r="U291" s="196"/>
      <c r="V291" s="196">
        <f>3.4*2.4</f>
        <v>8.16</v>
      </c>
      <c r="W291" s="196"/>
      <c r="X291" s="196"/>
      <c r="Y291" s="171"/>
      <c r="AM291" s="197">
        <f>N291*G291-T291</f>
        <v>1.4400000000000002</v>
      </c>
      <c r="AP291" s="197">
        <f>O291*G291-U291</f>
        <v>24.659999999999997</v>
      </c>
      <c r="BA291" s="171"/>
      <c r="BB291" s="196">
        <f>N291+P291</f>
        <v>16.225000000000001</v>
      </c>
    </row>
    <row r="292" spans="1:54" ht="30" x14ac:dyDescent="0.2">
      <c r="A292" s="186">
        <v>159</v>
      </c>
      <c r="B292" s="171" t="s">
        <v>116</v>
      </c>
      <c r="C292" s="171" t="s">
        <v>113</v>
      </c>
      <c r="D292" s="216" t="s">
        <v>281</v>
      </c>
      <c r="E292" s="193" t="s">
        <v>1339</v>
      </c>
      <c r="F292" s="198">
        <v>63.75</v>
      </c>
      <c r="G292" s="198"/>
      <c r="H292" s="211">
        <v>3000</v>
      </c>
      <c r="I292" s="10" t="s">
        <v>77</v>
      </c>
      <c r="J292" s="10" t="s">
        <v>54</v>
      </c>
      <c r="K292" s="199" t="s">
        <v>55</v>
      </c>
      <c r="L292" s="193"/>
      <c r="M292" s="196">
        <f>64.1+1.26*2+1.7-6.7</f>
        <v>61.61999999999999</v>
      </c>
      <c r="N292" s="196">
        <f>1.7+11.6+0.9+0.25+0.6+0.3*2</f>
        <v>15.649999999999999</v>
      </c>
      <c r="O292" s="196">
        <f>4.2+9.1+0.6+1.26*2</f>
        <v>16.420000000000002</v>
      </c>
      <c r="P292" s="196">
        <f>7.6+3.2+0.65+0.55</f>
        <v>12.000000000000002</v>
      </c>
      <c r="Q292" s="196">
        <f>0.6*2</f>
        <v>1.2</v>
      </c>
      <c r="R292" s="196">
        <f>M292-N292-O292-Q292</f>
        <v>28.349999999999991</v>
      </c>
      <c r="T292" s="196">
        <f>11.6*2.53</f>
        <v>29.347999999999995</v>
      </c>
      <c r="U292" s="196">
        <f>1.49*2.655+0.9*2.1</f>
        <v>5.8459500000000002</v>
      </c>
      <c r="X292" s="196">
        <f>0.9*2.1+1*2.1+0.9*2.1+0.9*2.1</f>
        <v>7.7700000000000014</v>
      </c>
      <c r="AP292" s="197">
        <f>N292*2.67-T292</f>
        <v>12.437499999999996</v>
      </c>
      <c r="AQ292" s="197">
        <f>O292*2.4-U292</f>
        <v>33.562049999999999</v>
      </c>
      <c r="BB292" s="196">
        <f>2.25*2+18.75+0.6*4</f>
        <v>25.65</v>
      </c>
    </row>
    <row r="293" spans="1:54" x14ac:dyDescent="0.2">
      <c r="A293" s="186">
        <v>128</v>
      </c>
      <c r="B293" s="171" t="s">
        <v>116</v>
      </c>
      <c r="C293" s="171" t="s">
        <v>112</v>
      </c>
      <c r="D293" s="193" t="s">
        <v>1059</v>
      </c>
      <c r="E293" s="193" t="s">
        <v>1060</v>
      </c>
      <c r="F293" s="194">
        <v>45.35</v>
      </c>
      <c r="G293" s="200">
        <f t="shared" ref="G293:G316" si="72">H293/1000</f>
        <v>3</v>
      </c>
      <c r="H293" s="208">
        <v>3000</v>
      </c>
      <c r="I293" s="10" t="s">
        <v>1056</v>
      </c>
      <c r="J293" s="10" t="s">
        <v>43</v>
      </c>
      <c r="K293" s="210" t="s">
        <v>44</v>
      </c>
      <c r="L293" s="10"/>
      <c r="M293" s="196">
        <v>27.6</v>
      </c>
      <c r="N293" s="196">
        <f>6.7</f>
        <v>6.7</v>
      </c>
      <c r="O293" s="196">
        <f>M293-N293</f>
        <v>20.900000000000002</v>
      </c>
      <c r="T293" s="196">
        <f>6.7*2.05</f>
        <v>13.734999999999999</v>
      </c>
      <c r="U293" s="196">
        <f>6.7*3+1.25*3</f>
        <v>23.85</v>
      </c>
      <c r="AM293" s="197">
        <f>N293*G293-T293</f>
        <v>6.365000000000002</v>
      </c>
      <c r="AN293" s="197">
        <f>O293*G293-U293</f>
        <v>38.85</v>
      </c>
      <c r="AO293" s="197">
        <f>P293*G293-V293</f>
        <v>0</v>
      </c>
      <c r="AZ293" s="197">
        <f>Q293*G293-W293</f>
        <v>0</v>
      </c>
      <c r="BB293" s="196">
        <f>M293</f>
        <v>27.6</v>
      </c>
    </row>
    <row r="294" spans="1:54" ht="45" x14ac:dyDescent="0.2">
      <c r="A294" s="186">
        <v>195</v>
      </c>
      <c r="B294" s="171" t="s">
        <v>116</v>
      </c>
      <c r="C294" s="171" t="s">
        <v>113</v>
      </c>
      <c r="D294" s="10" t="s">
        <v>1115</v>
      </c>
      <c r="E294" s="193" t="s">
        <v>1116</v>
      </c>
      <c r="F294" s="217">
        <v>11.35</v>
      </c>
      <c r="G294" s="200">
        <f t="shared" si="72"/>
        <v>2.61</v>
      </c>
      <c r="H294" s="220">
        <v>2610</v>
      </c>
      <c r="I294" s="199" t="s">
        <v>57</v>
      </c>
      <c r="J294" s="10" t="s">
        <v>297</v>
      </c>
      <c r="K294" s="10" t="s">
        <v>1112</v>
      </c>
      <c r="L294" s="193" t="s">
        <v>61</v>
      </c>
      <c r="M294" s="196">
        <v>16.2</v>
      </c>
      <c r="N294" s="196">
        <v>0.8</v>
      </c>
      <c r="O294" s="196">
        <v>1.75</v>
      </c>
      <c r="P294" s="196">
        <f>M294-N294-O294</f>
        <v>13.649999999999999</v>
      </c>
      <c r="V294" s="196">
        <f>1*2.1*2+0.9*2.1</f>
        <v>6.09</v>
      </c>
      <c r="AP294" s="197">
        <f>N294*2.67-T294</f>
        <v>2.1360000000000001</v>
      </c>
      <c r="AQ294" s="197">
        <f>O294*2.4-U294</f>
        <v>4.2</v>
      </c>
      <c r="AY294" s="197">
        <f>P294*2.67-V294</f>
        <v>30.355499999999996</v>
      </c>
      <c r="BB294" s="196">
        <f>O294</f>
        <v>1.75</v>
      </c>
    </row>
    <row r="295" spans="1:54" ht="30" x14ac:dyDescent="0.2">
      <c r="A295" s="171">
        <v>223</v>
      </c>
      <c r="B295" s="171" t="s">
        <v>116</v>
      </c>
      <c r="C295" s="171" t="s">
        <v>114</v>
      </c>
      <c r="D295" s="216" t="s">
        <v>306</v>
      </c>
      <c r="E295" s="193" t="s">
        <v>1122</v>
      </c>
      <c r="F295" s="194">
        <v>4.25</v>
      </c>
      <c r="G295" s="200">
        <f t="shared" si="72"/>
        <v>2.61</v>
      </c>
      <c r="H295" s="208">
        <v>2610</v>
      </c>
      <c r="I295" s="10" t="s">
        <v>1123</v>
      </c>
      <c r="J295" s="10" t="s">
        <v>70</v>
      </c>
      <c r="K295" s="10" t="s">
        <v>738</v>
      </c>
      <c r="L295" s="193"/>
      <c r="M295" s="196">
        <f>18.7+0.8*2</f>
        <v>20.3</v>
      </c>
      <c r="N295" s="196">
        <f>M295</f>
        <v>20.3</v>
      </c>
      <c r="T295" s="196">
        <f>0.8*2.1*2+1*2.1</f>
        <v>5.4600000000000009</v>
      </c>
      <c r="BB295" s="196">
        <f>N295</f>
        <v>20.3</v>
      </c>
    </row>
    <row r="296" spans="1:54" ht="45" x14ac:dyDescent="0.2">
      <c r="A296" s="186">
        <v>171</v>
      </c>
      <c r="B296" s="171" t="s">
        <v>116</v>
      </c>
      <c r="C296" s="171" t="s">
        <v>113</v>
      </c>
      <c r="D296" s="216" t="s">
        <v>285</v>
      </c>
      <c r="E296" s="193" t="s">
        <v>1336</v>
      </c>
      <c r="F296" s="217">
        <v>161.65</v>
      </c>
      <c r="G296" s="200">
        <f t="shared" si="72"/>
        <v>2.61</v>
      </c>
      <c r="H296" s="219">
        <v>2610</v>
      </c>
      <c r="I296" s="221" t="s">
        <v>57</v>
      </c>
      <c r="J296" s="10" t="s">
        <v>282</v>
      </c>
      <c r="K296" s="10" t="s">
        <v>1338</v>
      </c>
      <c r="L296" s="193" t="s">
        <v>61</v>
      </c>
      <c r="M296" s="196">
        <f>91.15+6.9+7.7+1.72*2+2+3.95*2</f>
        <v>119.09000000000002</v>
      </c>
      <c r="N296" s="196">
        <f>0.8*2+0.65+0.6+0.3+0.15+0.8+0.2+0.2+5.2+1.7*2+2+0.6</f>
        <v>15.7</v>
      </c>
      <c r="O296" s="196">
        <f>3.95+2.25</f>
        <v>6.2</v>
      </c>
      <c r="P296" s="196">
        <f>1.5+4.5+3.95+5.1</f>
        <v>15.049999999999999</v>
      </c>
      <c r="Q296" s="196">
        <f>M296-N296-O296-P296</f>
        <v>82.140000000000015</v>
      </c>
      <c r="W296" s="196">
        <f>1*2.1+1.2*2.1+0.9*2.1+1.665*2.1</f>
        <v>10.006499999999999</v>
      </c>
      <c r="BB296" s="196">
        <f>O296+P296</f>
        <v>21.25</v>
      </c>
    </row>
    <row r="297" spans="1:54" x14ac:dyDescent="0.2">
      <c r="A297" s="186">
        <v>222</v>
      </c>
      <c r="B297" s="171" t="s">
        <v>116</v>
      </c>
      <c r="C297" s="171" t="s">
        <v>114</v>
      </c>
      <c r="D297" s="10" t="s">
        <v>1132</v>
      </c>
      <c r="E297" s="193" t="s">
        <v>1133</v>
      </c>
      <c r="F297" s="194">
        <v>12.2</v>
      </c>
      <c r="G297" s="200">
        <f t="shared" si="72"/>
        <v>2.61</v>
      </c>
      <c r="H297" s="208">
        <v>2610</v>
      </c>
      <c r="I297" s="10" t="s">
        <v>1134</v>
      </c>
      <c r="J297" s="10" t="s">
        <v>63</v>
      </c>
      <c r="K297" s="10" t="s">
        <v>738</v>
      </c>
      <c r="L297" s="193"/>
      <c r="M297" s="196">
        <v>14.4</v>
      </c>
      <c r="N297" s="196">
        <f>3.4+3.8+0.3</f>
        <v>7.4999999999999991</v>
      </c>
      <c r="O297" s="196">
        <f>M297-N297</f>
        <v>6.9000000000000012</v>
      </c>
      <c r="BB297" s="196">
        <f t="shared" ref="BB297:BB313" si="73">M297</f>
        <v>14.4</v>
      </c>
    </row>
    <row r="298" spans="1:54" x14ac:dyDescent="0.2">
      <c r="A298" s="186">
        <v>221</v>
      </c>
      <c r="B298" s="171" t="s">
        <v>116</v>
      </c>
      <c r="C298" s="171" t="s">
        <v>114</v>
      </c>
      <c r="D298" s="10" t="s">
        <v>1130</v>
      </c>
      <c r="E298" s="193" t="s">
        <v>1131</v>
      </c>
      <c r="F298" s="194">
        <v>29.8</v>
      </c>
      <c r="G298" s="200">
        <f t="shared" si="72"/>
        <v>3</v>
      </c>
      <c r="H298" s="208">
        <v>3000</v>
      </c>
      <c r="I298" s="210" t="s">
        <v>56</v>
      </c>
      <c r="J298" s="10" t="s">
        <v>63</v>
      </c>
      <c r="K298" s="10" t="s">
        <v>738</v>
      </c>
      <c r="L298" s="193"/>
      <c r="M298" s="196">
        <f>8.8*2+3.4*2</f>
        <v>24.400000000000002</v>
      </c>
      <c r="N298" s="196">
        <f>8.8+3.4*2</f>
        <v>15.600000000000001</v>
      </c>
      <c r="O298" s="196">
        <v>8.8000000000000007</v>
      </c>
      <c r="BB298" s="196">
        <f t="shared" si="73"/>
        <v>24.400000000000002</v>
      </c>
    </row>
    <row r="299" spans="1:54" x14ac:dyDescent="0.2">
      <c r="A299" s="186">
        <v>162</v>
      </c>
      <c r="B299" s="171" t="s">
        <v>116</v>
      </c>
      <c r="C299" s="171" t="s">
        <v>113</v>
      </c>
      <c r="D299" s="10" t="s">
        <v>1128</v>
      </c>
      <c r="E299" s="193" t="s">
        <v>1129</v>
      </c>
      <c r="F299" s="198">
        <v>26.9</v>
      </c>
      <c r="G299" s="200">
        <f t="shared" si="72"/>
        <v>2.61</v>
      </c>
      <c r="H299" s="219">
        <v>2610</v>
      </c>
      <c r="I299" s="199" t="s">
        <v>56</v>
      </c>
      <c r="J299" s="10" t="s">
        <v>36</v>
      </c>
      <c r="K299" s="10" t="s">
        <v>1098</v>
      </c>
      <c r="L299" s="193"/>
      <c r="M299" s="196">
        <f>32.9-2.115</f>
        <v>30.784999999999997</v>
      </c>
      <c r="N299" s="196">
        <v>2.4</v>
      </c>
      <c r="O299" s="196">
        <f>M299-N299</f>
        <v>28.384999999999998</v>
      </c>
      <c r="T299" s="196">
        <f>1.3*2.1</f>
        <v>2.7300000000000004</v>
      </c>
      <c r="U299" s="196">
        <f>1.8*2.1</f>
        <v>3.7800000000000002</v>
      </c>
      <c r="AL299" s="197">
        <f>N299*H299/1000-T299</f>
        <v>3.5339999999999998</v>
      </c>
      <c r="AM299" s="197">
        <f>O299*H299/1000-U299</f>
        <v>70.304849999999988</v>
      </c>
      <c r="AN299" s="197">
        <f>P299*H299/1000-V299</f>
        <v>0</v>
      </c>
      <c r="AO299" s="171"/>
      <c r="AP299" s="197">
        <f>Q299*H299/1000-W299</f>
        <v>0</v>
      </c>
      <c r="AZ299" s="197">
        <f>R299*H299/1000-X299</f>
        <v>0</v>
      </c>
      <c r="BB299" s="196">
        <f t="shared" si="73"/>
        <v>30.784999999999997</v>
      </c>
    </row>
    <row r="300" spans="1:54" x14ac:dyDescent="0.2">
      <c r="A300" s="186">
        <v>198</v>
      </c>
      <c r="B300" s="171" t="s">
        <v>116</v>
      </c>
      <c r="C300" s="171" t="s">
        <v>113</v>
      </c>
      <c r="D300" s="10" t="s">
        <v>1143</v>
      </c>
      <c r="E300" s="193" t="s">
        <v>1144</v>
      </c>
      <c r="F300" s="198">
        <v>4.25</v>
      </c>
      <c r="G300" s="200">
        <f t="shared" si="72"/>
        <v>2.61</v>
      </c>
      <c r="H300" s="220">
        <v>2610</v>
      </c>
      <c r="I300" s="199" t="s">
        <v>67</v>
      </c>
      <c r="J300" s="10" t="s">
        <v>63</v>
      </c>
      <c r="K300" s="10" t="s">
        <v>1112</v>
      </c>
      <c r="L300" s="193"/>
      <c r="M300" s="196">
        <v>8.8000000000000007</v>
      </c>
      <c r="N300" s="196">
        <f>1</f>
        <v>1</v>
      </c>
      <c r="O300" s="196">
        <v>7.8</v>
      </c>
      <c r="AM300" s="197">
        <f>N300*G300-T300</f>
        <v>2.61</v>
      </c>
      <c r="AP300" s="197">
        <f>O300*G300-U300</f>
        <v>20.357999999999997</v>
      </c>
      <c r="AR300" s="197">
        <f>P300*G300-V300</f>
        <v>0</v>
      </c>
      <c r="BB300" s="196">
        <f t="shared" si="73"/>
        <v>8.8000000000000007</v>
      </c>
    </row>
    <row r="301" spans="1:54" x14ac:dyDescent="0.2">
      <c r="A301" s="186">
        <v>200</v>
      </c>
      <c r="B301" s="171" t="s">
        <v>116</v>
      </c>
      <c r="C301" s="171" t="s">
        <v>113</v>
      </c>
      <c r="D301" s="10" t="s">
        <v>1147</v>
      </c>
      <c r="E301" s="201" t="s">
        <v>1148</v>
      </c>
      <c r="F301" s="198">
        <v>5.45</v>
      </c>
      <c r="G301" s="200">
        <f t="shared" si="72"/>
        <v>2.61</v>
      </c>
      <c r="H301" s="220">
        <v>2610</v>
      </c>
      <c r="I301" s="199" t="s">
        <v>67</v>
      </c>
      <c r="J301" s="10" t="s">
        <v>34</v>
      </c>
      <c r="K301" s="10" t="s">
        <v>1112</v>
      </c>
      <c r="L301" s="193"/>
      <c r="M301" s="196">
        <v>9.9</v>
      </c>
      <c r="N301" s="196">
        <f>M301</f>
        <v>9.9</v>
      </c>
      <c r="AP301" s="197">
        <f>N301*G301-T301</f>
        <v>25.838999999999999</v>
      </c>
      <c r="AQ301" s="197">
        <f>O301*G301-U301</f>
        <v>0</v>
      </c>
      <c r="BB301" s="196">
        <f t="shared" si="73"/>
        <v>9.9</v>
      </c>
    </row>
    <row r="302" spans="1:54" x14ac:dyDescent="0.2">
      <c r="A302" s="171">
        <v>202</v>
      </c>
      <c r="B302" s="171" t="s">
        <v>116</v>
      </c>
      <c r="C302" s="171" t="s">
        <v>113</v>
      </c>
      <c r="D302" s="10" t="s">
        <v>1151</v>
      </c>
      <c r="E302" s="193" t="s">
        <v>1152</v>
      </c>
      <c r="F302" s="222">
        <v>5.45</v>
      </c>
      <c r="G302" s="200">
        <f t="shared" si="72"/>
        <v>2.61</v>
      </c>
      <c r="H302" s="219">
        <v>2610</v>
      </c>
      <c r="I302" s="199" t="s">
        <v>67</v>
      </c>
      <c r="J302" s="10" t="s">
        <v>63</v>
      </c>
      <c r="K302" s="10" t="s">
        <v>1112</v>
      </c>
      <c r="L302" s="193"/>
      <c r="M302" s="196">
        <v>10.15</v>
      </c>
      <c r="N302" s="196">
        <v>1.6</v>
      </c>
      <c r="O302" s="196">
        <f>M302-N302</f>
        <v>8.5500000000000007</v>
      </c>
      <c r="BB302" s="196">
        <f t="shared" si="73"/>
        <v>10.15</v>
      </c>
    </row>
    <row r="303" spans="1:54" x14ac:dyDescent="0.2">
      <c r="A303" s="186">
        <v>203</v>
      </c>
      <c r="B303" s="171" t="s">
        <v>116</v>
      </c>
      <c r="C303" s="171" t="s">
        <v>113</v>
      </c>
      <c r="D303" s="10" t="s">
        <v>1153</v>
      </c>
      <c r="E303" s="193" t="s">
        <v>1154</v>
      </c>
      <c r="F303" s="198">
        <v>5.5</v>
      </c>
      <c r="G303" s="200">
        <f t="shared" si="72"/>
        <v>2.61</v>
      </c>
      <c r="H303" s="219">
        <v>2610</v>
      </c>
      <c r="I303" s="199" t="s">
        <v>67</v>
      </c>
      <c r="J303" s="10" t="s">
        <v>63</v>
      </c>
      <c r="K303" s="10" t="s">
        <v>1112</v>
      </c>
      <c r="L303" s="193"/>
      <c r="M303" s="196">
        <v>10.15</v>
      </c>
      <c r="N303" s="196">
        <v>1.615</v>
      </c>
      <c r="O303" s="196">
        <f>M303-N303</f>
        <v>8.5350000000000001</v>
      </c>
      <c r="AP303" s="197">
        <f>N303*G303-T303</f>
        <v>4.2151499999999995</v>
      </c>
      <c r="BB303" s="196">
        <f t="shared" si="73"/>
        <v>10.15</v>
      </c>
    </row>
    <row r="304" spans="1:54" x14ac:dyDescent="0.2">
      <c r="A304" s="171">
        <v>199</v>
      </c>
      <c r="B304" s="171" t="s">
        <v>116</v>
      </c>
      <c r="C304" s="171" t="s">
        <v>113</v>
      </c>
      <c r="D304" s="10" t="s">
        <v>1145</v>
      </c>
      <c r="E304" s="193" t="s">
        <v>1146</v>
      </c>
      <c r="F304" s="198">
        <v>7.6</v>
      </c>
      <c r="G304" s="200">
        <f t="shared" si="72"/>
        <v>2.61</v>
      </c>
      <c r="H304" s="219">
        <v>2610</v>
      </c>
      <c r="I304" s="199" t="s">
        <v>67</v>
      </c>
      <c r="J304" s="10" t="s">
        <v>34</v>
      </c>
      <c r="K304" s="10" t="s">
        <v>1112</v>
      </c>
      <c r="L304" s="193"/>
      <c r="M304" s="196">
        <v>11.1</v>
      </c>
      <c r="N304" s="196">
        <f>M304</f>
        <v>11.1</v>
      </c>
      <c r="AP304" s="197">
        <f>N304*G304-T304</f>
        <v>28.970999999999997</v>
      </c>
      <c r="BB304" s="196">
        <f t="shared" si="73"/>
        <v>11.1</v>
      </c>
    </row>
    <row r="305" spans="1:54" ht="30" x14ac:dyDescent="0.2">
      <c r="A305" s="186">
        <v>182</v>
      </c>
      <c r="B305" s="171" t="s">
        <v>116</v>
      </c>
      <c r="C305" s="171" t="s">
        <v>113</v>
      </c>
      <c r="D305" s="216" t="s">
        <v>290</v>
      </c>
      <c r="E305" s="193" t="s">
        <v>1138</v>
      </c>
      <c r="F305" s="198">
        <v>9.25</v>
      </c>
      <c r="G305" s="200">
        <f t="shared" si="72"/>
        <v>2.61</v>
      </c>
      <c r="H305" s="219">
        <v>2610</v>
      </c>
      <c r="I305" s="199" t="s">
        <v>67</v>
      </c>
      <c r="J305" s="10" t="s">
        <v>66</v>
      </c>
      <c r="K305" s="10" t="s">
        <v>1112</v>
      </c>
      <c r="L305" s="193"/>
      <c r="M305" s="196">
        <f>16.2-3.1</f>
        <v>13.1</v>
      </c>
      <c r="N305" s="196">
        <f>2.3+0.4</f>
        <v>2.6999999999999997</v>
      </c>
      <c r="O305" s="196">
        <f>1.85</f>
        <v>1.85</v>
      </c>
      <c r="P305" s="196">
        <f>M305-N305-O305</f>
        <v>8.5500000000000007</v>
      </c>
      <c r="AQ305" s="197">
        <f>N305*G305-T305</f>
        <v>7.0469999999999988</v>
      </c>
      <c r="AT305" s="197">
        <f>O305*G305-U305</f>
        <v>4.8285</v>
      </c>
      <c r="BB305" s="196">
        <f t="shared" si="73"/>
        <v>13.1</v>
      </c>
    </row>
    <row r="306" spans="1:54" x14ac:dyDescent="0.2">
      <c r="A306" s="186">
        <v>201</v>
      </c>
      <c r="B306" s="171" t="s">
        <v>116</v>
      </c>
      <c r="C306" s="171" t="s">
        <v>113</v>
      </c>
      <c r="D306" s="10" t="s">
        <v>1149</v>
      </c>
      <c r="E306" s="193" t="s">
        <v>1150</v>
      </c>
      <c r="F306" s="217">
        <v>11.4</v>
      </c>
      <c r="G306" s="200">
        <f t="shared" si="72"/>
        <v>2.61</v>
      </c>
      <c r="H306" s="220">
        <v>2610</v>
      </c>
      <c r="I306" s="199" t="s">
        <v>67</v>
      </c>
      <c r="J306" s="10" t="s">
        <v>63</v>
      </c>
      <c r="K306" s="10" t="s">
        <v>1112</v>
      </c>
      <c r="L306" s="193"/>
      <c r="M306" s="196">
        <v>13.5</v>
      </c>
      <c r="N306" s="196">
        <v>2.6</v>
      </c>
      <c r="O306" s="196">
        <f>M306-N306</f>
        <v>10.9</v>
      </c>
      <c r="AM306" s="197">
        <f>N306*G306-T306</f>
        <v>6.7859999999999996</v>
      </c>
      <c r="AN306" s="197">
        <f>O306*G306-U306</f>
        <v>28.448999999999998</v>
      </c>
      <c r="AP306" s="197">
        <f>P306*G306-V306</f>
        <v>0</v>
      </c>
      <c r="AQ306" s="197">
        <f>Q306*G306-W306</f>
        <v>0</v>
      </c>
      <c r="AZ306" s="197">
        <f>R306*G306-X306</f>
        <v>0</v>
      </c>
      <c r="BB306" s="196">
        <f t="shared" si="73"/>
        <v>13.5</v>
      </c>
    </row>
    <row r="307" spans="1:54" ht="30" x14ac:dyDescent="0.2">
      <c r="A307" s="186">
        <v>185</v>
      </c>
      <c r="B307" s="171" t="s">
        <v>116</v>
      </c>
      <c r="C307" s="171" t="s">
        <v>113</v>
      </c>
      <c r="D307" s="216" t="s">
        <v>293</v>
      </c>
      <c r="E307" s="193" t="s">
        <v>1136</v>
      </c>
      <c r="F307" s="198">
        <v>9.9</v>
      </c>
      <c r="G307" s="200">
        <f t="shared" si="72"/>
        <v>2.61</v>
      </c>
      <c r="H307" s="219">
        <v>2610</v>
      </c>
      <c r="I307" s="199" t="s">
        <v>67</v>
      </c>
      <c r="J307" s="10" t="s">
        <v>66</v>
      </c>
      <c r="K307" s="10" t="s">
        <v>1112</v>
      </c>
      <c r="L307" s="193"/>
      <c r="M307" s="196">
        <f>19.3-5.3</f>
        <v>14</v>
      </c>
      <c r="N307" s="196">
        <f>0.4*2+0.3</f>
        <v>1.1000000000000001</v>
      </c>
      <c r="O307" s="196">
        <f>M307-N307-P307</f>
        <v>7.870000000000001</v>
      </c>
      <c r="P307" s="196">
        <f>2.3+2.73</f>
        <v>5.0299999999999994</v>
      </c>
      <c r="BB307" s="196">
        <f t="shared" si="73"/>
        <v>14</v>
      </c>
    </row>
    <row r="308" spans="1:54" s="197" customFormat="1" x14ac:dyDescent="0.2">
      <c r="A308" s="186">
        <v>194</v>
      </c>
      <c r="B308" s="171" t="s">
        <v>116</v>
      </c>
      <c r="C308" s="171" t="s">
        <v>113</v>
      </c>
      <c r="D308" s="10" t="s">
        <v>1141</v>
      </c>
      <c r="E308" s="193" t="s">
        <v>1142</v>
      </c>
      <c r="F308" s="217">
        <v>14.7</v>
      </c>
      <c r="G308" s="200">
        <f t="shared" si="72"/>
        <v>2.61</v>
      </c>
      <c r="H308" s="219">
        <v>2610</v>
      </c>
      <c r="I308" s="199" t="s">
        <v>67</v>
      </c>
      <c r="J308" s="10" t="s">
        <v>63</v>
      </c>
      <c r="K308" s="10" t="s">
        <v>1112</v>
      </c>
      <c r="L308" s="193"/>
      <c r="M308" s="196">
        <v>15.85</v>
      </c>
      <c r="N308" s="196">
        <f>0.6</f>
        <v>0.6</v>
      </c>
      <c r="O308" s="196">
        <f>M308-N308</f>
        <v>15.25</v>
      </c>
      <c r="P308" s="196"/>
      <c r="Q308" s="196"/>
      <c r="R308" s="196"/>
      <c r="S308" s="196"/>
      <c r="T308" s="196"/>
      <c r="U308" s="196"/>
      <c r="V308" s="196"/>
      <c r="W308" s="196"/>
      <c r="X308" s="196"/>
      <c r="Y308" s="171"/>
      <c r="AM308" s="197">
        <f>N308*G308-T308</f>
        <v>1.5659999999999998</v>
      </c>
      <c r="AP308" s="197">
        <f>O308*G308-U308</f>
        <v>39.802499999999995</v>
      </c>
      <c r="BA308" s="171"/>
      <c r="BB308" s="196">
        <f t="shared" si="73"/>
        <v>15.85</v>
      </c>
    </row>
    <row r="309" spans="1:54" s="197" customFormat="1" x14ac:dyDescent="0.2">
      <c r="A309" s="186">
        <v>189</v>
      </c>
      <c r="B309" s="171" t="s">
        <v>116</v>
      </c>
      <c r="C309" s="171" t="s">
        <v>113</v>
      </c>
      <c r="D309" s="10" t="s">
        <v>1139</v>
      </c>
      <c r="E309" s="193" t="s">
        <v>1140</v>
      </c>
      <c r="F309" s="222">
        <v>7.9</v>
      </c>
      <c r="G309" s="200">
        <f t="shared" si="72"/>
        <v>2.61</v>
      </c>
      <c r="H309" s="220">
        <v>2610</v>
      </c>
      <c r="I309" s="10" t="s">
        <v>67</v>
      </c>
      <c r="J309" s="10" t="s">
        <v>68</v>
      </c>
      <c r="K309" s="10" t="s">
        <v>1112</v>
      </c>
      <c r="L309" s="193"/>
      <c r="M309" s="196">
        <f>21.65-2.115-1.75</f>
        <v>17.784999999999997</v>
      </c>
      <c r="N309" s="196">
        <v>2.4</v>
      </c>
      <c r="O309" s="196">
        <f>M309-P309-N309</f>
        <v>13.384999999999996</v>
      </c>
      <c r="P309" s="196">
        <v>2</v>
      </c>
      <c r="Q309" s="196"/>
      <c r="R309" s="196"/>
      <c r="S309" s="196"/>
      <c r="T309" s="196"/>
      <c r="U309" s="196"/>
      <c r="V309" s="196"/>
      <c r="W309" s="196"/>
      <c r="X309" s="196"/>
      <c r="Y309" s="171"/>
      <c r="AM309" s="197">
        <f>N309*G309-T309</f>
        <v>6.2639999999999993</v>
      </c>
      <c r="AP309" s="197">
        <f>O309*G309-U309</f>
        <v>34.93484999999999</v>
      </c>
      <c r="AR309" s="197">
        <f>P309*G309-V309</f>
        <v>5.22</v>
      </c>
      <c r="BA309" s="171"/>
      <c r="BB309" s="196">
        <f t="shared" si="73"/>
        <v>17.784999999999997</v>
      </c>
    </row>
    <row r="310" spans="1:54" s="197" customFormat="1" x14ac:dyDescent="0.2">
      <c r="A310" s="171">
        <v>193</v>
      </c>
      <c r="B310" s="171" t="s">
        <v>116</v>
      </c>
      <c r="C310" s="171" t="s">
        <v>113</v>
      </c>
      <c r="D310" s="10" t="s">
        <v>1314</v>
      </c>
      <c r="E310" s="193" t="s">
        <v>1315</v>
      </c>
      <c r="F310" s="217">
        <v>15.85</v>
      </c>
      <c r="G310" s="200">
        <f t="shared" si="72"/>
        <v>2.61</v>
      </c>
      <c r="H310" s="219">
        <v>2610</v>
      </c>
      <c r="I310" s="221" t="s">
        <v>67</v>
      </c>
      <c r="J310" s="10" t="s">
        <v>36</v>
      </c>
      <c r="K310" s="10" t="s">
        <v>1112</v>
      </c>
      <c r="L310" s="193"/>
      <c r="M310" s="196">
        <f>20.4-1.9</f>
        <v>18.5</v>
      </c>
      <c r="N310" s="196">
        <f>0.3+0.3+0.8+2.4</f>
        <v>3.8</v>
      </c>
      <c r="O310" s="196">
        <f>M310-N310</f>
        <v>14.7</v>
      </c>
      <c r="P310" s="196"/>
      <c r="Q310" s="196"/>
      <c r="R310" s="196"/>
      <c r="S310" s="196"/>
      <c r="T310" s="196">
        <f>1.1*2.1</f>
        <v>2.3100000000000005</v>
      </c>
      <c r="U310" s="196"/>
      <c r="V310" s="196"/>
      <c r="W310" s="196"/>
      <c r="X310" s="196"/>
      <c r="Y310" s="171"/>
      <c r="AQ310" s="197">
        <f>N310*G310-T310</f>
        <v>7.6079999999999988</v>
      </c>
      <c r="AT310" s="197">
        <f>O310*G310-U310</f>
        <v>38.366999999999997</v>
      </c>
      <c r="BA310" s="171"/>
      <c r="BB310" s="196">
        <f t="shared" si="73"/>
        <v>18.5</v>
      </c>
    </row>
    <row r="311" spans="1:54" s="197" customFormat="1" x14ac:dyDescent="0.2">
      <c r="A311" s="171">
        <v>172</v>
      </c>
      <c r="B311" s="171" t="s">
        <v>116</v>
      </c>
      <c r="C311" s="171" t="s">
        <v>113</v>
      </c>
      <c r="D311" s="10" t="s">
        <v>1308</v>
      </c>
      <c r="E311" s="193" t="s">
        <v>1309</v>
      </c>
      <c r="F311" s="217">
        <v>14.1</v>
      </c>
      <c r="G311" s="200">
        <f t="shared" si="72"/>
        <v>2.61</v>
      </c>
      <c r="H311" s="220">
        <v>2610</v>
      </c>
      <c r="I311" s="221" t="s">
        <v>67</v>
      </c>
      <c r="J311" s="10" t="s">
        <v>63</v>
      </c>
      <c r="K311" s="10" t="s">
        <v>1112</v>
      </c>
      <c r="L311" s="193"/>
      <c r="M311" s="196">
        <f>19.2+2</f>
        <v>21.2</v>
      </c>
      <c r="N311" s="196">
        <f>2.5+0.6+2</f>
        <v>5.0999999999999996</v>
      </c>
      <c r="O311" s="196">
        <f>M311-N311</f>
        <v>16.100000000000001</v>
      </c>
      <c r="P311" s="196"/>
      <c r="Q311" s="196"/>
      <c r="R311" s="196"/>
      <c r="S311" s="196"/>
      <c r="T311" s="196">
        <f>0.9*2.1</f>
        <v>1.8900000000000001</v>
      </c>
      <c r="U311" s="196"/>
      <c r="V311" s="196"/>
      <c r="W311" s="196"/>
      <c r="X311" s="196"/>
      <c r="Y311" s="171"/>
      <c r="AP311" s="197">
        <f>N311*G311-T311</f>
        <v>11.420999999999998</v>
      </c>
      <c r="AQ311" s="197">
        <f>O311*G311-U311</f>
        <v>42.021000000000001</v>
      </c>
      <c r="BA311" s="171"/>
      <c r="BB311" s="196">
        <f t="shared" si="73"/>
        <v>21.2</v>
      </c>
    </row>
    <row r="312" spans="1:54" s="197" customFormat="1" x14ac:dyDescent="0.2">
      <c r="A312" s="186">
        <v>204</v>
      </c>
      <c r="B312" s="171" t="s">
        <v>116</v>
      </c>
      <c r="C312" s="171" t="s">
        <v>113</v>
      </c>
      <c r="D312" s="10" t="s">
        <v>1316</v>
      </c>
      <c r="E312" s="193" t="s">
        <v>1317</v>
      </c>
      <c r="F312" s="198">
        <v>55.45</v>
      </c>
      <c r="G312" s="200">
        <f t="shared" si="72"/>
        <v>2.61</v>
      </c>
      <c r="H312" s="220">
        <v>2610</v>
      </c>
      <c r="I312" s="199" t="s">
        <v>67</v>
      </c>
      <c r="J312" s="10" t="s">
        <v>36</v>
      </c>
      <c r="K312" s="10" t="s">
        <v>1112</v>
      </c>
      <c r="L312" s="193"/>
      <c r="M312" s="196">
        <f>51.9-3.1-5.2-1.65-1.9</f>
        <v>40.049999999999997</v>
      </c>
      <c r="N312" s="196">
        <f>0.8+0.3+0.15*2+0.1</f>
        <v>1.5000000000000002</v>
      </c>
      <c r="O312" s="196">
        <f>M312-N312</f>
        <v>38.549999999999997</v>
      </c>
      <c r="P312" s="196"/>
      <c r="Q312" s="196"/>
      <c r="R312" s="196"/>
      <c r="S312" s="196"/>
      <c r="T312" s="196"/>
      <c r="U312" s="196"/>
      <c r="V312" s="196"/>
      <c r="W312" s="196"/>
      <c r="X312" s="196"/>
      <c r="Y312" s="171"/>
      <c r="BA312" s="171"/>
      <c r="BB312" s="196">
        <f t="shared" si="73"/>
        <v>40.049999999999997</v>
      </c>
    </row>
    <row r="313" spans="1:54" s="197" customFormat="1" x14ac:dyDescent="0.2">
      <c r="A313" s="186">
        <v>176</v>
      </c>
      <c r="B313" s="171" t="s">
        <v>116</v>
      </c>
      <c r="C313" s="171" t="s">
        <v>113</v>
      </c>
      <c r="D313" s="10" t="s">
        <v>1157</v>
      </c>
      <c r="E313" s="193" t="s">
        <v>1158</v>
      </c>
      <c r="F313" s="198">
        <v>7</v>
      </c>
      <c r="G313" s="200">
        <f t="shared" si="72"/>
        <v>2.61</v>
      </c>
      <c r="H313" s="219">
        <v>2610</v>
      </c>
      <c r="I313" s="199" t="s">
        <v>64</v>
      </c>
      <c r="J313" s="10" t="s">
        <v>36</v>
      </c>
      <c r="K313" s="10" t="s">
        <v>1112</v>
      </c>
      <c r="L313" s="193"/>
      <c r="M313" s="196">
        <f>3.8*2+1.85*2</f>
        <v>11.3</v>
      </c>
      <c r="N313" s="196">
        <v>1.85</v>
      </c>
      <c r="O313" s="196">
        <f>M313-N313</f>
        <v>9.4500000000000011</v>
      </c>
      <c r="P313" s="196"/>
      <c r="Q313" s="196"/>
      <c r="R313" s="196"/>
      <c r="S313" s="196"/>
      <c r="T313" s="196"/>
      <c r="U313" s="196">
        <f>1.85*2.1</f>
        <v>3.8850000000000002</v>
      </c>
      <c r="V313" s="196"/>
      <c r="W313" s="196"/>
      <c r="X313" s="196"/>
      <c r="Y313" s="171"/>
      <c r="AP313" s="197">
        <f>N313*G313-T313</f>
        <v>4.8285</v>
      </c>
      <c r="BA313" s="171"/>
      <c r="BB313" s="196">
        <f t="shared" si="73"/>
        <v>11.3</v>
      </c>
    </row>
    <row r="314" spans="1:54" s="197" customFormat="1" ht="45" x14ac:dyDescent="0.2">
      <c r="A314" s="186">
        <v>179</v>
      </c>
      <c r="B314" s="171" t="s">
        <v>116</v>
      </c>
      <c r="C314" s="171" t="s">
        <v>113</v>
      </c>
      <c r="D314" s="216" t="s">
        <v>287</v>
      </c>
      <c r="E314" s="193" t="s">
        <v>1311</v>
      </c>
      <c r="F314" s="198">
        <v>22.25</v>
      </c>
      <c r="G314" s="200">
        <f t="shared" si="72"/>
        <v>2.61</v>
      </c>
      <c r="H314" s="219">
        <v>2610</v>
      </c>
      <c r="I314" s="221" t="s">
        <v>64</v>
      </c>
      <c r="J314" s="10" t="s">
        <v>282</v>
      </c>
      <c r="K314" s="10" t="s">
        <v>1098</v>
      </c>
      <c r="L314" s="193" t="s">
        <v>61</v>
      </c>
      <c r="M314" s="196">
        <f>30.65-0.95-2.6</f>
        <v>27.099999999999998</v>
      </c>
      <c r="N314" s="196">
        <f>3.15+0.65</f>
        <v>3.8</v>
      </c>
      <c r="O314" s="196">
        <f>0.4+5.3</f>
        <v>5.7</v>
      </c>
      <c r="P314" s="196">
        <f>M314-N314-O314-Q314</f>
        <v>8.9999999999999982</v>
      </c>
      <c r="Q314" s="196">
        <f>3+2.8+2.8</f>
        <v>8.6</v>
      </c>
      <c r="R314" s="196"/>
      <c r="S314" s="196"/>
      <c r="T314" s="196"/>
      <c r="U314" s="196"/>
      <c r="V314" s="196">
        <f>1*2.1</f>
        <v>2.1</v>
      </c>
      <c r="W314" s="196"/>
      <c r="X314" s="196"/>
      <c r="Y314" s="171"/>
      <c r="AP314" s="197">
        <f>N314*2.67-T314</f>
        <v>10.145999999999999</v>
      </c>
      <c r="AQ314" s="197">
        <f>O314*2.4-U314</f>
        <v>13.68</v>
      </c>
      <c r="BA314" s="171"/>
      <c r="BB314" s="196">
        <f>O314+P314</f>
        <v>14.7</v>
      </c>
    </row>
    <row r="315" spans="1:54" s="197" customFormat="1" x14ac:dyDescent="0.2">
      <c r="A315" s="171">
        <v>112</v>
      </c>
      <c r="B315" s="171" t="s">
        <v>116</v>
      </c>
      <c r="C315" s="171" t="s">
        <v>112</v>
      </c>
      <c r="D315" s="193" t="s">
        <v>1165</v>
      </c>
      <c r="E315" s="193" t="s">
        <v>1166</v>
      </c>
      <c r="F315" s="194">
        <v>15.9</v>
      </c>
      <c r="G315" s="200">
        <f t="shared" si="72"/>
        <v>3</v>
      </c>
      <c r="H315" s="208">
        <v>3000</v>
      </c>
      <c r="I315" s="210" t="s">
        <v>29</v>
      </c>
      <c r="J315" s="10" t="s">
        <v>30</v>
      </c>
      <c r="K315" s="10" t="s">
        <v>1017</v>
      </c>
      <c r="L315" s="10"/>
      <c r="M315" s="196">
        <f>4.45*2</f>
        <v>8.9</v>
      </c>
      <c r="N315" s="196">
        <f>M315</f>
        <v>8.9</v>
      </c>
      <c r="O315" s="196"/>
      <c r="P315" s="196"/>
      <c r="Q315" s="196"/>
      <c r="R315" s="196"/>
      <c r="S315" s="196"/>
      <c r="T315" s="196"/>
      <c r="U315" s="196"/>
      <c r="V315" s="196"/>
      <c r="W315" s="196"/>
      <c r="X315" s="196"/>
      <c r="Y315" s="171"/>
      <c r="AP315" s="197">
        <f>N315*2.67-T315</f>
        <v>23.763000000000002</v>
      </c>
      <c r="AQ315" s="197">
        <f>O315*2.4-U315</f>
        <v>0</v>
      </c>
      <c r="AY315" s="197">
        <f>P315*2.67-V315</f>
        <v>0</v>
      </c>
      <c r="BA315" s="171"/>
      <c r="BB315" s="196">
        <f t="shared" ref="BB315:BB331" si="74">M315</f>
        <v>8.9</v>
      </c>
    </row>
    <row r="316" spans="1:54" s="197" customFormat="1" x14ac:dyDescent="0.2">
      <c r="A316" s="186">
        <v>234</v>
      </c>
      <c r="B316" s="171" t="s">
        <v>116</v>
      </c>
      <c r="C316" s="171" t="s">
        <v>117</v>
      </c>
      <c r="D316" s="10" t="s">
        <v>1167</v>
      </c>
      <c r="E316" s="193" t="s">
        <v>861</v>
      </c>
      <c r="F316" s="194">
        <v>7.35</v>
      </c>
      <c r="G316" s="200">
        <f t="shared" si="72"/>
        <v>3</v>
      </c>
      <c r="H316" s="208">
        <v>3000</v>
      </c>
      <c r="I316" s="10" t="s">
        <v>1168</v>
      </c>
      <c r="J316" s="10" t="s">
        <v>71</v>
      </c>
      <c r="K316" s="10" t="s">
        <v>1169</v>
      </c>
      <c r="L316" s="10"/>
      <c r="M316" s="196">
        <v>13</v>
      </c>
      <c r="N316" s="196">
        <f>M316</f>
        <v>13</v>
      </c>
      <c r="O316" s="196"/>
      <c r="P316" s="196"/>
      <c r="Q316" s="196"/>
      <c r="R316" s="196"/>
      <c r="S316" s="196"/>
      <c r="T316" s="196">
        <f>1.3*3+1.355*3</f>
        <v>7.9649999999999999</v>
      </c>
      <c r="U316" s="196"/>
      <c r="V316" s="196"/>
      <c r="W316" s="196"/>
      <c r="X316" s="196"/>
      <c r="Y316" s="171"/>
      <c r="AP316" s="197">
        <f>N316*2.67-T316</f>
        <v>26.745000000000001</v>
      </c>
      <c r="AQ316" s="197">
        <f>O316*2.4-U316</f>
        <v>0</v>
      </c>
      <c r="BA316" s="171"/>
      <c r="BB316" s="196">
        <f t="shared" si="74"/>
        <v>13</v>
      </c>
    </row>
    <row r="317" spans="1:54" s="197" customFormat="1" ht="45" x14ac:dyDescent="0.2">
      <c r="A317" s="186">
        <v>237</v>
      </c>
      <c r="B317" s="171" t="s">
        <v>116</v>
      </c>
      <c r="C317" s="171" t="s">
        <v>117</v>
      </c>
      <c r="D317" s="216" t="s">
        <v>309</v>
      </c>
      <c r="E317" s="193" t="s">
        <v>1085</v>
      </c>
      <c r="F317" s="194">
        <v>356.15</v>
      </c>
      <c r="G317" s="194"/>
      <c r="H317" s="208">
        <v>3000</v>
      </c>
      <c r="I317" s="10" t="s">
        <v>1468</v>
      </c>
      <c r="J317" s="10" t="s">
        <v>81</v>
      </c>
      <c r="K317" s="10" t="s">
        <v>1017</v>
      </c>
      <c r="L317" s="10"/>
      <c r="M317" s="196">
        <f>182.2-11.7-11.1-2.85-3.85+1.26*7+7.9-4.5*2-1.8-12-4.5-6.65-6.5-3.4-3.4-3.37-9-3.4-1.6</f>
        <v>104.79999999999998</v>
      </c>
      <c r="N317" s="196">
        <f>0.2</f>
        <v>0.2</v>
      </c>
      <c r="O317" s="196">
        <f>1.26*7+7.9+3.2+3.5</f>
        <v>23.419999999999998</v>
      </c>
      <c r="P317" s="196">
        <f>4.65+3.95+0.5*2+6.35+5.25*2</f>
        <v>26.450000000000003</v>
      </c>
      <c r="Q317" s="196">
        <f>M317-N317-O317-P317</f>
        <v>54.729999999999976</v>
      </c>
      <c r="R317" s="196"/>
      <c r="S317" s="196"/>
      <c r="T317" s="196"/>
      <c r="U317" s="196">
        <f>1.35*2.6</f>
        <v>3.5100000000000002</v>
      </c>
      <c r="V317" s="196"/>
      <c r="W317" s="196">
        <f>5.15*2.4+1.5*2.1+4*2.4+2.855*2.4+9.3*2.4+9.15*2.4</f>
        <v>76.24199999999999</v>
      </c>
      <c r="X317" s="196"/>
      <c r="Y317" s="171"/>
      <c r="AP317" s="197">
        <f>N317*2.67-T317</f>
        <v>0.53400000000000003</v>
      </c>
      <c r="AQ317" s="197">
        <f>O317*2.4-U317</f>
        <v>52.697999999999993</v>
      </c>
      <c r="AY317" s="197">
        <f>P317*2.67-V317</f>
        <v>70.621500000000012</v>
      </c>
      <c r="BA317" s="171"/>
      <c r="BB317" s="196">
        <f t="shared" si="74"/>
        <v>104.79999999999998</v>
      </c>
    </row>
    <row r="318" spans="1:54" s="197" customFormat="1" x14ac:dyDescent="0.2">
      <c r="A318" s="186">
        <v>261</v>
      </c>
      <c r="B318" s="171" t="s">
        <v>116</v>
      </c>
      <c r="C318" s="171" t="s">
        <v>117</v>
      </c>
      <c r="D318" s="10" t="s">
        <v>1208</v>
      </c>
      <c r="E318" s="193" t="s">
        <v>1207</v>
      </c>
      <c r="F318" s="194">
        <v>11.25</v>
      </c>
      <c r="G318" s="200">
        <f t="shared" ref="G318:G325" si="75">H318/1000</f>
        <v>3</v>
      </c>
      <c r="H318" s="211">
        <v>3000</v>
      </c>
      <c r="I318" s="10" t="s">
        <v>1469</v>
      </c>
      <c r="J318" s="10" t="s">
        <v>36</v>
      </c>
      <c r="K318" s="10" t="s">
        <v>738</v>
      </c>
      <c r="L318" s="10"/>
      <c r="M318" s="196">
        <f>13.4-3.4</f>
        <v>10</v>
      </c>
      <c r="N318" s="196">
        <v>3.3</v>
      </c>
      <c r="O318" s="196">
        <f>M318-N318</f>
        <v>6.7</v>
      </c>
      <c r="P318" s="196"/>
      <c r="Q318" s="196"/>
      <c r="R318" s="196"/>
      <c r="S318" s="196"/>
      <c r="T318" s="196"/>
      <c r="U318" s="196">
        <f>3.4*2.4</f>
        <v>8.16</v>
      </c>
      <c r="V318" s="196"/>
      <c r="W318" s="196"/>
      <c r="X318" s="196"/>
      <c r="Y318" s="171"/>
      <c r="AM318" s="197">
        <f>N318*G318-T318</f>
        <v>9.8999999999999986</v>
      </c>
      <c r="AP318" s="197">
        <f>O318*G318-U318</f>
        <v>11.940000000000001</v>
      </c>
      <c r="BA318" s="171"/>
      <c r="BB318" s="196">
        <f t="shared" si="74"/>
        <v>10</v>
      </c>
    </row>
    <row r="319" spans="1:54" s="197" customFormat="1" x14ac:dyDescent="0.2">
      <c r="A319" s="186">
        <v>260</v>
      </c>
      <c r="B319" s="171" t="s">
        <v>116</v>
      </c>
      <c r="C319" s="171" t="s">
        <v>117</v>
      </c>
      <c r="D319" s="10" t="s">
        <v>1206</v>
      </c>
      <c r="E319" s="193" t="s">
        <v>1207</v>
      </c>
      <c r="F319" s="223">
        <v>11.15</v>
      </c>
      <c r="G319" s="200">
        <f t="shared" si="75"/>
        <v>3</v>
      </c>
      <c r="H319" s="211">
        <v>3000</v>
      </c>
      <c r="I319" s="10" t="s">
        <v>1470</v>
      </c>
      <c r="J319" s="10" t="s">
        <v>36</v>
      </c>
      <c r="K319" s="10" t="s">
        <v>738</v>
      </c>
      <c r="L319" s="10"/>
      <c r="M319" s="196">
        <f>13.4-3.35</f>
        <v>10.050000000000001</v>
      </c>
      <c r="N319" s="196">
        <v>3.3</v>
      </c>
      <c r="O319" s="196">
        <f>M319-N319</f>
        <v>6.7500000000000009</v>
      </c>
      <c r="P319" s="196"/>
      <c r="Q319" s="196"/>
      <c r="R319" s="196"/>
      <c r="S319" s="196"/>
      <c r="T319" s="196"/>
      <c r="U319" s="196">
        <f>3.35*2.4</f>
        <v>8.0399999999999991</v>
      </c>
      <c r="V319" s="196"/>
      <c r="W319" s="196"/>
      <c r="X319" s="196"/>
      <c r="Y319" s="171"/>
      <c r="AM319" s="197">
        <f>N319*G319-T319</f>
        <v>9.8999999999999986</v>
      </c>
      <c r="AP319" s="197">
        <f>O319*G319-U319</f>
        <v>12.210000000000004</v>
      </c>
      <c r="AR319" s="197">
        <f>P319*G319-V319</f>
        <v>0</v>
      </c>
      <c r="BA319" s="171"/>
      <c r="BB319" s="196">
        <f t="shared" si="74"/>
        <v>10.050000000000001</v>
      </c>
    </row>
    <row r="320" spans="1:54" s="197" customFormat="1" x14ac:dyDescent="0.2">
      <c r="A320" s="171">
        <v>262</v>
      </c>
      <c r="B320" s="171" t="s">
        <v>116</v>
      </c>
      <c r="C320" s="171" t="s">
        <v>117</v>
      </c>
      <c r="D320" s="10" t="s">
        <v>1209</v>
      </c>
      <c r="E320" s="193" t="s">
        <v>1180</v>
      </c>
      <c r="F320" s="194">
        <v>12.15</v>
      </c>
      <c r="G320" s="200">
        <f t="shared" si="75"/>
        <v>3</v>
      </c>
      <c r="H320" s="211">
        <v>3000</v>
      </c>
      <c r="I320" s="10" t="s">
        <v>1469</v>
      </c>
      <c r="J320" s="10" t="s">
        <v>315</v>
      </c>
      <c r="K320" s="10" t="s">
        <v>738</v>
      </c>
      <c r="L320" s="10"/>
      <c r="M320" s="196">
        <f>14.5-3.35</f>
        <v>11.15</v>
      </c>
      <c r="N320" s="196">
        <f>M320-O320</f>
        <v>8.9</v>
      </c>
      <c r="O320" s="196">
        <v>2.25</v>
      </c>
      <c r="P320" s="196"/>
      <c r="Q320" s="196"/>
      <c r="R320" s="196"/>
      <c r="S320" s="196"/>
      <c r="T320" s="196">
        <f>1.85*2.4</f>
        <v>4.4400000000000004</v>
      </c>
      <c r="U320" s="196"/>
      <c r="V320" s="196"/>
      <c r="W320" s="196"/>
      <c r="X320" s="196"/>
      <c r="Y320" s="171"/>
      <c r="AM320" s="197">
        <f>N320*G320-T320</f>
        <v>22.26</v>
      </c>
      <c r="AP320" s="197">
        <f>O320*G320-U320</f>
        <v>6.75</v>
      </c>
      <c r="BA320" s="171"/>
      <c r="BB320" s="196">
        <f t="shared" si="74"/>
        <v>11.15</v>
      </c>
    </row>
    <row r="321" spans="1:54" s="197" customFormat="1" x14ac:dyDescent="0.2">
      <c r="A321" s="186">
        <v>153</v>
      </c>
      <c r="B321" s="171" t="s">
        <v>116</v>
      </c>
      <c r="C321" s="171" t="s">
        <v>113</v>
      </c>
      <c r="D321" s="10" t="s">
        <v>1185</v>
      </c>
      <c r="E321" s="193" t="s">
        <v>1186</v>
      </c>
      <c r="F321" s="198">
        <v>13.2</v>
      </c>
      <c r="G321" s="200">
        <f t="shared" si="75"/>
        <v>3</v>
      </c>
      <c r="H321" s="219">
        <v>3000</v>
      </c>
      <c r="I321" s="221" t="s">
        <v>50</v>
      </c>
      <c r="J321" s="10" t="s">
        <v>36</v>
      </c>
      <c r="K321" s="10" t="s">
        <v>1098</v>
      </c>
      <c r="L321" s="193"/>
      <c r="M321" s="196">
        <v>16</v>
      </c>
      <c r="N321" s="196">
        <v>5</v>
      </c>
      <c r="O321" s="196">
        <v>11</v>
      </c>
      <c r="P321" s="196"/>
      <c r="Q321" s="196"/>
      <c r="R321" s="196"/>
      <c r="S321" s="196"/>
      <c r="T321" s="196">
        <f>5*2.03</f>
        <v>10.149999999999999</v>
      </c>
      <c r="U321" s="196">
        <f>4*2.1</f>
        <v>8.4</v>
      </c>
      <c r="V321" s="196"/>
      <c r="W321" s="196"/>
      <c r="X321" s="196"/>
      <c r="Y321" s="171"/>
      <c r="AM321" s="197">
        <f>N321*G321-T321</f>
        <v>4.8500000000000014</v>
      </c>
      <c r="AN321" s="197">
        <f>O321*G321-U321</f>
        <v>24.6</v>
      </c>
      <c r="AO321" s="197">
        <f>P321*G321-V321</f>
        <v>0</v>
      </c>
      <c r="AZ321" s="197">
        <f>Q321*G321-W321</f>
        <v>0</v>
      </c>
      <c r="BA321" s="171"/>
      <c r="BB321" s="196">
        <f t="shared" si="74"/>
        <v>16</v>
      </c>
    </row>
    <row r="322" spans="1:54" s="197" customFormat="1" x14ac:dyDescent="0.2">
      <c r="A322" s="186">
        <v>255</v>
      </c>
      <c r="B322" s="171" t="s">
        <v>116</v>
      </c>
      <c r="C322" s="171" t="s">
        <v>117</v>
      </c>
      <c r="D322" s="10" t="s">
        <v>1190</v>
      </c>
      <c r="E322" s="193" t="s">
        <v>1191</v>
      </c>
      <c r="F322" s="194">
        <v>14.6</v>
      </c>
      <c r="G322" s="200">
        <f t="shared" si="75"/>
        <v>3</v>
      </c>
      <c r="H322" s="211">
        <v>3000</v>
      </c>
      <c r="I322" s="10" t="s">
        <v>639</v>
      </c>
      <c r="J322" s="10" t="s">
        <v>36</v>
      </c>
      <c r="K322" s="10" t="s">
        <v>738</v>
      </c>
      <c r="L322" s="10"/>
      <c r="M322" s="196">
        <v>16.649999999999999</v>
      </c>
      <c r="N322" s="196">
        <f>M322/2</f>
        <v>8.3249999999999993</v>
      </c>
      <c r="O322" s="196">
        <f>M322/2</f>
        <v>8.3249999999999993</v>
      </c>
      <c r="P322" s="196"/>
      <c r="Q322" s="196"/>
      <c r="R322" s="196"/>
      <c r="S322" s="196"/>
      <c r="T322" s="196">
        <f>2.75*1.93</f>
        <v>5.3075000000000001</v>
      </c>
      <c r="U322" s="196"/>
      <c r="V322" s="196"/>
      <c r="W322" s="196"/>
      <c r="X322" s="196"/>
      <c r="Y322" s="171"/>
      <c r="BA322" s="171"/>
      <c r="BB322" s="196">
        <f t="shared" si="74"/>
        <v>16.649999999999999</v>
      </c>
    </row>
    <row r="323" spans="1:54" s="197" customFormat="1" x14ac:dyDescent="0.2">
      <c r="A323" s="171">
        <v>256</v>
      </c>
      <c r="B323" s="171" t="s">
        <v>116</v>
      </c>
      <c r="C323" s="171" t="s">
        <v>117</v>
      </c>
      <c r="D323" s="10" t="s">
        <v>1193</v>
      </c>
      <c r="E323" s="193" t="s">
        <v>1194</v>
      </c>
      <c r="F323" s="194">
        <v>14.6</v>
      </c>
      <c r="G323" s="200">
        <f t="shared" si="75"/>
        <v>3</v>
      </c>
      <c r="H323" s="211">
        <v>3000</v>
      </c>
      <c r="I323" s="10" t="s">
        <v>639</v>
      </c>
      <c r="J323" s="10" t="s">
        <v>36</v>
      </c>
      <c r="K323" s="10" t="s">
        <v>738</v>
      </c>
      <c r="L323" s="10"/>
      <c r="M323" s="196">
        <v>16.8</v>
      </c>
      <c r="N323" s="196">
        <f>M323/2</f>
        <v>8.4</v>
      </c>
      <c r="O323" s="196">
        <f>M323/2</f>
        <v>8.4</v>
      </c>
      <c r="P323" s="196"/>
      <c r="Q323" s="196"/>
      <c r="R323" s="196"/>
      <c r="S323" s="196"/>
      <c r="T323" s="196">
        <f>2.75*1.93</f>
        <v>5.3075000000000001</v>
      </c>
      <c r="U323" s="196"/>
      <c r="V323" s="196"/>
      <c r="W323" s="196"/>
      <c r="X323" s="196"/>
      <c r="Y323" s="171"/>
      <c r="AL323" s="197">
        <f>N323*H323/1000-T323</f>
        <v>19.892499999999998</v>
      </c>
      <c r="AM323" s="197">
        <f>O323*H323/1000-U323</f>
        <v>25.2</v>
      </c>
      <c r="AN323" s="197">
        <f>P323*H323/1000-V323</f>
        <v>0</v>
      </c>
      <c r="AO323" s="171"/>
      <c r="AP323" s="197">
        <f>Q323*H323/1000-W323</f>
        <v>0</v>
      </c>
      <c r="AZ323" s="197">
        <f>R323*H323/1000-X323</f>
        <v>0</v>
      </c>
      <c r="BA323" s="171"/>
      <c r="BB323" s="196">
        <f t="shared" si="74"/>
        <v>16.8</v>
      </c>
    </row>
    <row r="324" spans="1:54" x14ac:dyDescent="0.2">
      <c r="A324" s="186">
        <v>257</v>
      </c>
      <c r="B324" s="171" t="s">
        <v>116</v>
      </c>
      <c r="C324" s="171" t="s">
        <v>117</v>
      </c>
      <c r="D324" s="10" t="s">
        <v>1195</v>
      </c>
      <c r="E324" s="193" t="s">
        <v>1196</v>
      </c>
      <c r="F324" s="194">
        <v>14.6</v>
      </c>
      <c r="G324" s="200">
        <f t="shared" si="75"/>
        <v>3</v>
      </c>
      <c r="H324" s="211">
        <v>3000</v>
      </c>
      <c r="I324" s="10" t="s">
        <v>639</v>
      </c>
      <c r="J324" s="10" t="s">
        <v>36</v>
      </c>
      <c r="K324" s="10" t="s">
        <v>738</v>
      </c>
      <c r="L324" s="10"/>
      <c r="M324" s="196">
        <v>16.8</v>
      </c>
      <c r="N324" s="196">
        <f>M324/2</f>
        <v>8.4</v>
      </c>
      <c r="O324" s="196">
        <f>M324/2</f>
        <v>8.4</v>
      </c>
      <c r="T324" s="196">
        <f>2.75*1.93</f>
        <v>5.3075000000000001</v>
      </c>
      <c r="BB324" s="196">
        <f t="shared" si="74"/>
        <v>16.8</v>
      </c>
    </row>
    <row r="325" spans="1:54" x14ac:dyDescent="0.2">
      <c r="A325" s="186">
        <v>258</v>
      </c>
      <c r="B325" s="171" t="s">
        <v>116</v>
      </c>
      <c r="C325" s="171" t="s">
        <v>117</v>
      </c>
      <c r="D325" s="10" t="s">
        <v>1197</v>
      </c>
      <c r="E325" s="193" t="s">
        <v>1198</v>
      </c>
      <c r="F325" s="194">
        <v>14.6</v>
      </c>
      <c r="G325" s="200">
        <f t="shared" si="75"/>
        <v>3</v>
      </c>
      <c r="H325" s="211">
        <v>3000</v>
      </c>
      <c r="I325" s="10" t="s">
        <v>639</v>
      </c>
      <c r="J325" s="10" t="s">
        <v>36</v>
      </c>
      <c r="K325" s="10" t="s">
        <v>738</v>
      </c>
      <c r="L325" s="10"/>
      <c r="M325" s="196">
        <v>16.8</v>
      </c>
      <c r="N325" s="196">
        <f>M325/2</f>
        <v>8.4</v>
      </c>
      <c r="O325" s="196">
        <f>M325/2</f>
        <v>8.4</v>
      </c>
      <c r="T325" s="196">
        <f>2.75*1.93</f>
        <v>5.3075000000000001</v>
      </c>
      <c r="BB325" s="196">
        <f t="shared" si="74"/>
        <v>16.8</v>
      </c>
    </row>
    <row r="326" spans="1:54" x14ac:dyDescent="0.2">
      <c r="A326" s="186">
        <v>254</v>
      </c>
      <c r="B326" s="171" t="s">
        <v>116</v>
      </c>
      <c r="C326" s="171" t="s">
        <v>117</v>
      </c>
      <c r="D326" s="10" t="s">
        <v>1187</v>
      </c>
      <c r="E326" s="193" t="s">
        <v>1188</v>
      </c>
      <c r="F326" s="194">
        <v>13.45</v>
      </c>
      <c r="G326" s="194"/>
      <c r="H326" s="211">
        <v>3000</v>
      </c>
      <c r="I326" s="10" t="s">
        <v>639</v>
      </c>
      <c r="J326" s="10" t="s">
        <v>31</v>
      </c>
      <c r="K326" s="10" t="s">
        <v>738</v>
      </c>
      <c r="L326" s="10"/>
      <c r="M326" s="196">
        <v>16.899999999999999</v>
      </c>
      <c r="N326" s="196">
        <f>5.65</f>
        <v>5.65</v>
      </c>
      <c r="O326" s="196">
        <v>2.5</v>
      </c>
      <c r="P326" s="196">
        <f>M326-O326</f>
        <v>14.399999999999999</v>
      </c>
      <c r="T326" s="196">
        <f>0.9*2.4</f>
        <v>2.16</v>
      </c>
      <c r="U326" s="196">
        <f>2.5*1.93</f>
        <v>4.8250000000000002</v>
      </c>
      <c r="BB326" s="196">
        <f t="shared" si="74"/>
        <v>16.899999999999999</v>
      </c>
    </row>
    <row r="327" spans="1:54" x14ac:dyDescent="0.2">
      <c r="A327" s="186">
        <v>152</v>
      </c>
      <c r="B327" s="171" t="s">
        <v>116</v>
      </c>
      <c r="C327" s="171" t="s">
        <v>113</v>
      </c>
      <c r="D327" s="10" t="s">
        <v>1182</v>
      </c>
      <c r="E327" s="193" t="s">
        <v>1183</v>
      </c>
      <c r="F327" s="198">
        <v>21.05</v>
      </c>
      <c r="G327" s="200">
        <f t="shared" ref="G327:G373" si="76">H327/1000</f>
        <v>3</v>
      </c>
      <c r="H327" s="219">
        <v>3000</v>
      </c>
      <c r="I327" s="10" t="s">
        <v>1184</v>
      </c>
      <c r="J327" s="10" t="s">
        <v>40</v>
      </c>
      <c r="K327" s="10" t="s">
        <v>1098</v>
      </c>
      <c r="L327" s="193"/>
      <c r="M327" s="196">
        <v>20.05</v>
      </c>
      <c r="N327" s="196">
        <v>3.25</v>
      </c>
      <c r="O327" s="196">
        <f>M327-N327</f>
        <v>16.8</v>
      </c>
      <c r="P327" s="196">
        <v>3.75</v>
      </c>
      <c r="T327" s="196">
        <f>3.25*2.05</f>
        <v>6.6624999999999996</v>
      </c>
      <c r="U327" s="196">
        <f>2.45*2.1</f>
        <v>5.1450000000000005</v>
      </c>
      <c r="BB327" s="196">
        <f t="shared" si="74"/>
        <v>20.05</v>
      </c>
    </row>
    <row r="328" spans="1:54" ht="30" x14ac:dyDescent="0.2">
      <c r="A328" s="186">
        <v>117</v>
      </c>
      <c r="B328" s="171" t="s">
        <v>116</v>
      </c>
      <c r="C328" s="171" t="s">
        <v>112</v>
      </c>
      <c r="D328" s="193" t="s">
        <v>1179</v>
      </c>
      <c r="E328" s="193" t="s">
        <v>1180</v>
      </c>
      <c r="F328" s="194">
        <v>23.1</v>
      </c>
      <c r="G328" s="200">
        <f t="shared" si="76"/>
        <v>3</v>
      </c>
      <c r="H328" s="208">
        <v>3000</v>
      </c>
      <c r="I328" s="10" t="s">
        <v>639</v>
      </c>
      <c r="J328" s="10" t="s">
        <v>38</v>
      </c>
      <c r="K328" s="10" t="s">
        <v>1181</v>
      </c>
      <c r="L328" s="10"/>
      <c r="M328" s="196">
        <v>21.15</v>
      </c>
      <c r="N328" s="196">
        <v>3.35</v>
      </c>
      <c r="O328" s="196">
        <f>7.2*2-2.55+3.35</f>
        <v>15.200000000000001</v>
      </c>
      <c r="P328" s="196">
        <v>2.7</v>
      </c>
      <c r="Q328" s="196">
        <v>4.5</v>
      </c>
      <c r="R328" s="196">
        <v>2.5499999999999998</v>
      </c>
      <c r="T328" s="196">
        <f>3.35*2.4</f>
        <v>8.0399999999999991</v>
      </c>
      <c r="U328" s="196">
        <f>3.35*2.4</f>
        <v>8.0399999999999991</v>
      </c>
      <c r="BB328" s="196">
        <f t="shared" si="74"/>
        <v>21.15</v>
      </c>
    </row>
    <row r="329" spans="1:54" x14ac:dyDescent="0.2">
      <c r="A329" s="171">
        <v>259</v>
      </c>
      <c r="B329" s="171" t="s">
        <v>116</v>
      </c>
      <c r="C329" s="171" t="s">
        <v>117</v>
      </c>
      <c r="D329" s="10" t="s">
        <v>1204</v>
      </c>
      <c r="E329" s="193" t="s">
        <v>1205</v>
      </c>
      <c r="F329" s="194">
        <v>26.55</v>
      </c>
      <c r="G329" s="200">
        <f t="shared" si="76"/>
        <v>3</v>
      </c>
      <c r="H329" s="211">
        <v>3000</v>
      </c>
      <c r="I329" s="10" t="s">
        <v>1469</v>
      </c>
      <c r="J329" s="10" t="s">
        <v>36</v>
      </c>
      <c r="K329" s="10" t="s">
        <v>738</v>
      </c>
      <c r="L329" s="10"/>
      <c r="M329" s="196">
        <v>21.15</v>
      </c>
      <c r="N329" s="196">
        <f>M329/2</f>
        <v>10.574999999999999</v>
      </c>
      <c r="O329" s="196">
        <f>M329/2</f>
        <v>10.574999999999999</v>
      </c>
      <c r="T329" s="196">
        <f>5*1.93</f>
        <v>9.65</v>
      </c>
      <c r="AP329" s="197">
        <f>N329*G329-T329</f>
        <v>22.074999999999996</v>
      </c>
      <c r="BB329" s="196">
        <f t="shared" si="74"/>
        <v>21.15</v>
      </c>
    </row>
    <row r="330" spans="1:54" x14ac:dyDescent="0.2">
      <c r="A330" s="171">
        <v>238</v>
      </c>
      <c r="B330" s="171" t="s">
        <v>116</v>
      </c>
      <c r="C330" s="171" t="s">
        <v>117</v>
      </c>
      <c r="D330" s="10" t="s">
        <v>1199</v>
      </c>
      <c r="E330" s="193" t="s">
        <v>1200</v>
      </c>
      <c r="F330" s="194">
        <v>33.75</v>
      </c>
      <c r="G330" s="200">
        <f t="shared" si="76"/>
        <v>5.25</v>
      </c>
      <c r="H330" s="208">
        <v>5250</v>
      </c>
      <c r="I330" s="10" t="s">
        <v>1470</v>
      </c>
      <c r="J330" s="10" t="s">
        <v>34</v>
      </c>
      <c r="K330" s="10" t="s">
        <v>1017</v>
      </c>
      <c r="L330" s="10"/>
      <c r="M330" s="196">
        <v>22.2</v>
      </c>
      <c r="N330" s="196">
        <f>M330</f>
        <v>22.2</v>
      </c>
      <c r="T330" s="196">
        <f>1.35*2.6</f>
        <v>3.5100000000000002</v>
      </c>
      <c r="BB330" s="196">
        <f t="shared" si="74"/>
        <v>22.2</v>
      </c>
    </row>
    <row r="331" spans="1:54" ht="30" x14ac:dyDescent="0.2">
      <c r="A331" s="186">
        <v>239</v>
      </c>
      <c r="B331" s="171" t="s">
        <v>116</v>
      </c>
      <c r="C331" s="171" t="s">
        <v>117</v>
      </c>
      <c r="D331" s="216" t="s">
        <v>311</v>
      </c>
      <c r="E331" s="193" t="s">
        <v>1202</v>
      </c>
      <c r="F331" s="194">
        <v>17.399999999999999</v>
      </c>
      <c r="G331" s="200">
        <f t="shared" si="76"/>
        <v>3</v>
      </c>
      <c r="H331" s="208">
        <v>3000</v>
      </c>
      <c r="I331" s="10" t="s">
        <v>1469</v>
      </c>
      <c r="J331" s="10" t="s">
        <v>36</v>
      </c>
      <c r="K331" s="10" t="s">
        <v>1169</v>
      </c>
      <c r="L331" s="10"/>
      <c r="M331" s="196">
        <f>26.9+1*2+0.2*6</f>
        <v>30.099999999999998</v>
      </c>
      <c r="N331" s="196">
        <f>1*2+0.2*6</f>
        <v>3.2</v>
      </c>
      <c r="O331" s="196">
        <f>M331-N331</f>
        <v>26.9</v>
      </c>
      <c r="U331" s="196">
        <f>9.35*2.4+9.35*2.05</f>
        <v>41.607499999999995</v>
      </c>
      <c r="AH331" s="197">
        <f>N331*G331-T331</f>
        <v>9.6000000000000014</v>
      </c>
      <c r="AP331" s="197">
        <f>O331*G331-U331</f>
        <v>39.092499999999994</v>
      </c>
      <c r="AR331" s="197">
        <f>P331*G331-V331</f>
        <v>0</v>
      </c>
      <c r="BB331" s="196">
        <f t="shared" si="74"/>
        <v>30.099999999999998</v>
      </c>
    </row>
    <row r="332" spans="1:54" x14ac:dyDescent="0.2">
      <c r="A332" s="186">
        <v>110</v>
      </c>
      <c r="B332" s="171" t="s">
        <v>116</v>
      </c>
      <c r="C332" s="171" t="s">
        <v>112</v>
      </c>
      <c r="D332" s="193" t="s">
        <v>618</v>
      </c>
      <c r="E332" s="193" t="s">
        <v>619</v>
      </c>
      <c r="F332" s="194">
        <v>6.15</v>
      </c>
      <c r="G332" s="200" t="e">
        <f t="shared" si="76"/>
        <v>#VALUE!</v>
      </c>
      <c r="H332" s="195" t="s">
        <v>9</v>
      </c>
      <c r="I332" s="189" t="s">
        <v>9</v>
      </c>
      <c r="J332" s="10" t="s">
        <v>8</v>
      </c>
      <c r="K332" s="189"/>
      <c r="L332" s="189"/>
      <c r="BB332" s="196"/>
    </row>
    <row r="333" spans="1:54" x14ac:dyDescent="0.2">
      <c r="A333" s="186">
        <v>111</v>
      </c>
      <c r="B333" s="171" t="s">
        <v>116</v>
      </c>
      <c r="C333" s="171" t="s">
        <v>112</v>
      </c>
      <c r="D333" s="193" t="s">
        <v>620</v>
      </c>
      <c r="E333" s="193" t="s">
        <v>621</v>
      </c>
      <c r="F333" s="194">
        <v>4.5</v>
      </c>
      <c r="G333" s="200" t="e">
        <f t="shared" si="76"/>
        <v>#VALUE!</v>
      </c>
      <c r="H333" s="195" t="s">
        <v>9</v>
      </c>
      <c r="I333" s="189" t="s">
        <v>9</v>
      </c>
      <c r="J333" s="10" t="s">
        <v>8</v>
      </c>
      <c r="K333" s="189"/>
      <c r="L333" s="189"/>
      <c r="BB333" s="196"/>
    </row>
    <row r="334" spans="1:54" x14ac:dyDescent="0.2">
      <c r="A334" s="186">
        <v>149</v>
      </c>
      <c r="B334" s="171" t="s">
        <v>116</v>
      </c>
      <c r="C334" s="171" t="s">
        <v>113</v>
      </c>
      <c r="D334" s="10" t="s">
        <v>624</v>
      </c>
      <c r="E334" s="193" t="s">
        <v>625</v>
      </c>
      <c r="F334" s="198">
        <v>6.1</v>
      </c>
      <c r="G334" s="200" t="e">
        <f t="shared" si="76"/>
        <v>#VALUE!</v>
      </c>
      <c r="H334" s="195" t="s">
        <v>9</v>
      </c>
      <c r="I334" s="189" t="s">
        <v>9</v>
      </c>
      <c r="J334" s="10" t="s">
        <v>8</v>
      </c>
      <c r="K334" s="189" t="s">
        <v>9</v>
      </c>
      <c r="L334" s="201"/>
      <c r="AA334" s="197" t="e">
        <f>N334*G334-T334</f>
        <v>#VALUE!</v>
      </c>
      <c r="BB334" s="196"/>
    </row>
    <row r="335" spans="1:54" x14ac:dyDescent="0.2">
      <c r="A335" s="186">
        <v>150</v>
      </c>
      <c r="B335" s="171" t="s">
        <v>116</v>
      </c>
      <c r="C335" s="171" t="s">
        <v>113</v>
      </c>
      <c r="D335" s="10" t="s">
        <v>626</v>
      </c>
      <c r="E335" s="193" t="s">
        <v>627</v>
      </c>
      <c r="F335" s="198">
        <v>4.5</v>
      </c>
      <c r="G335" s="200" t="e">
        <f t="shared" si="76"/>
        <v>#VALUE!</v>
      </c>
      <c r="H335" s="195" t="s">
        <v>9</v>
      </c>
      <c r="I335" s="189" t="s">
        <v>9</v>
      </c>
      <c r="J335" s="10" t="s">
        <v>8</v>
      </c>
      <c r="K335" s="189" t="s">
        <v>9</v>
      </c>
      <c r="L335" s="201"/>
      <c r="AA335" s="197" t="e">
        <f>N335*G335-T335</f>
        <v>#VALUE!</v>
      </c>
      <c r="BB335" s="196"/>
    </row>
    <row r="336" spans="1:54" x14ac:dyDescent="0.2">
      <c r="A336" s="186">
        <v>161</v>
      </c>
      <c r="B336" s="171" t="s">
        <v>116</v>
      </c>
      <c r="C336" s="171" t="s">
        <v>113</v>
      </c>
      <c r="D336" s="10" t="s">
        <v>628</v>
      </c>
      <c r="E336" s="193" t="s">
        <v>629</v>
      </c>
      <c r="F336" s="198">
        <v>7.25</v>
      </c>
      <c r="G336" s="200" t="e">
        <f t="shared" si="76"/>
        <v>#VALUE!</v>
      </c>
      <c r="H336" s="195" t="s">
        <v>9</v>
      </c>
      <c r="I336" s="189" t="s">
        <v>9</v>
      </c>
      <c r="J336" s="10" t="s">
        <v>8</v>
      </c>
      <c r="K336" s="10" t="s">
        <v>630</v>
      </c>
      <c r="L336" s="193"/>
      <c r="Z336" s="197" t="e">
        <f t="shared" ref="Z336:Z344" si="77">N336*H336/1000-T336</f>
        <v>#VALUE!</v>
      </c>
      <c r="AE336" s="197" t="e">
        <f t="shared" ref="AE336:AE344" si="78">O336*H336/1000-U336</f>
        <v>#VALUE!</v>
      </c>
      <c r="BB336" s="196"/>
    </row>
    <row r="337" spans="1:54" x14ac:dyDescent="0.2">
      <c r="A337" s="171">
        <v>214</v>
      </c>
      <c r="B337" s="171" t="s">
        <v>116</v>
      </c>
      <c r="C337" s="171" t="s">
        <v>114</v>
      </c>
      <c r="D337" s="10" t="s">
        <v>636</v>
      </c>
      <c r="E337" s="193" t="s">
        <v>619</v>
      </c>
      <c r="F337" s="194">
        <v>6.15</v>
      </c>
      <c r="G337" s="200" t="e">
        <f t="shared" si="76"/>
        <v>#VALUE!</v>
      </c>
      <c r="H337" s="195" t="s">
        <v>9</v>
      </c>
      <c r="I337" s="189" t="s">
        <v>9</v>
      </c>
      <c r="J337" s="10" t="s">
        <v>8</v>
      </c>
      <c r="K337" s="189" t="s">
        <v>9</v>
      </c>
      <c r="L337" s="201"/>
      <c r="Z337" s="197" t="e">
        <f t="shared" si="77"/>
        <v>#VALUE!</v>
      </c>
      <c r="AE337" s="197" t="e">
        <f t="shared" si="78"/>
        <v>#VALUE!</v>
      </c>
      <c r="BB337" s="196"/>
    </row>
    <row r="338" spans="1:54" x14ac:dyDescent="0.2">
      <c r="A338" s="186">
        <v>215</v>
      </c>
      <c r="B338" s="171" t="s">
        <v>116</v>
      </c>
      <c r="C338" s="171" t="s">
        <v>114</v>
      </c>
      <c r="D338" s="10" t="s">
        <v>637</v>
      </c>
      <c r="E338" s="193" t="s">
        <v>621</v>
      </c>
      <c r="F338" s="194">
        <v>4.5</v>
      </c>
      <c r="G338" s="200" t="e">
        <f t="shared" si="76"/>
        <v>#VALUE!</v>
      </c>
      <c r="H338" s="195" t="s">
        <v>9</v>
      </c>
      <c r="I338" s="189" t="s">
        <v>9</v>
      </c>
      <c r="J338" s="10" t="s">
        <v>8</v>
      </c>
      <c r="K338" s="189" t="s">
        <v>9</v>
      </c>
      <c r="L338" s="201"/>
      <c r="Z338" s="197" t="e">
        <f t="shared" si="77"/>
        <v>#VALUE!</v>
      </c>
      <c r="AE338" s="197" t="e">
        <f t="shared" si="78"/>
        <v>#VALUE!</v>
      </c>
      <c r="BB338" s="196"/>
    </row>
    <row r="339" spans="1:54" x14ac:dyDescent="0.2">
      <c r="A339" s="171">
        <v>274</v>
      </c>
      <c r="B339" s="171" t="s">
        <v>118</v>
      </c>
      <c r="C339" s="171" t="s">
        <v>112</v>
      </c>
      <c r="D339" s="10" t="s">
        <v>640</v>
      </c>
      <c r="E339" s="193" t="s">
        <v>641</v>
      </c>
      <c r="F339" s="202">
        <v>6.15</v>
      </c>
      <c r="G339" s="200" t="e">
        <f t="shared" si="76"/>
        <v>#VALUE!</v>
      </c>
      <c r="H339" s="195" t="s">
        <v>9</v>
      </c>
      <c r="I339" s="189" t="s">
        <v>9</v>
      </c>
      <c r="J339" s="10" t="s">
        <v>8</v>
      </c>
      <c r="K339" s="189" t="s">
        <v>9</v>
      </c>
      <c r="L339" s="201"/>
      <c r="Z339" s="197" t="e">
        <f t="shared" si="77"/>
        <v>#VALUE!</v>
      </c>
      <c r="AE339" s="197" t="e">
        <f t="shared" si="78"/>
        <v>#VALUE!</v>
      </c>
      <c r="BB339" s="196"/>
    </row>
    <row r="340" spans="1:54" x14ac:dyDescent="0.2">
      <c r="A340" s="186">
        <v>275</v>
      </c>
      <c r="B340" s="171" t="s">
        <v>118</v>
      </c>
      <c r="C340" s="171" t="s">
        <v>112</v>
      </c>
      <c r="D340" s="10" t="s">
        <v>382</v>
      </c>
      <c r="E340" s="193" t="s">
        <v>644</v>
      </c>
      <c r="F340" s="204">
        <v>4.5</v>
      </c>
      <c r="G340" s="200" t="e">
        <f t="shared" si="76"/>
        <v>#VALUE!</v>
      </c>
      <c r="H340" s="195" t="s">
        <v>9</v>
      </c>
      <c r="I340" s="189" t="s">
        <v>9</v>
      </c>
      <c r="J340" s="10" t="s">
        <v>8</v>
      </c>
      <c r="K340" s="189" t="s">
        <v>9</v>
      </c>
      <c r="L340" s="201"/>
      <c r="Z340" s="197" t="e">
        <f t="shared" si="77"/>
        <v>#VALUE!</v>
      </c>
      <c r="AE340" s="197" t="e">
        <f t="shared" si="78"/>
        <v>#VALUE!</v>
      </c>
      <c r="BB340" s="196"/>
    </row>
    <row r="341" spans="1:54" x14ac:dyDescent="0.2">
      <c r="A341" s="171">
        <v>313</v>
      </c>
      <c r="B341" s="171" t="s">
        <v>118</v>
      </c>
      <c r="C341" s="171" t="s">
        <v>113</v>
      </c>
      <c r="D341" s="10" t="s">
        <v>646</v>
      </c>
      <c r="E341" s="193" t="s">
        <v>641</v>
      </c>
      <c r="F341" s="202">
        <v>6.1</v>
      </c>
      <c r="G341" s="200" t="e">
        <f t="shared" si="76"/>
        <v>#VALUE!</v>
      </c>
      <c r="H341" s="195" t="s">
        <v>9</v>
      </c>
      <c r="I341" s="189" t="s">
        <v>9</v>
      </c>
      <c r="J341" s="10" t="s">
        <v>8</v>
      </c>
      <c r="K341" s="189"/>
      <c r="L341" s="224"/>
      <c r="Z341" s="197" t="e">
        <f t="shared" si="77"/>
        <v>#VALUE!</v>
      </c>
      <c r="AE341" s="197" t="e">
        <f t="shared" si="78"/>
        <v>#VALUE!</v>
      </c>
      <c r="BB341" s="196"/>
    </row>
    <row r="342" spans="1:54" x14ac:dyDescent="0.2">
      <c r="A342" s="186">
        <v>314</v>
      </c>
      <c r="B342" s="171" t="s">
        <v>118</v>
      </c>
      <c r="C342" s="171" t="s">
        <v>113</v>
      </c>
      <c r="D342" s="10" t="s">
        <v>383</v>
      </c>
      <c r="E342" s="193" t="s">
        <v>644</v>
      </c>
      <c r="F342" s="202">
        <v>4.4000000000000004</v>
      </c>
      <c r="G342" s="200" t="e">
        <f t="shared" si="76"/>
        <v>#VALUE!</v>
      </c>
      <c r="H342" s="195" t="s">
        <v>9</v>
      </c>
      <c r="I342" s="189" t="s">
        <v>9</v>
      </c>
      <c r="J342" s="10" t="s">
        <v>8</v>
      </c>
      <c r="K342" s="189"/>
      <c r="L342" s="224"/>
      <c r="Z342" s="197" t="e">
        <f t="shared" si="77"/>
        <v>#VALUE!</v>
      </c>
      <c r="AE342" s="197" t="e">
        <f t="shared" si="78"/>
        <v>#VALUE!</v>
      </c>
      <c r="BB342" s="196"/>
    </row>
    <row r="343" spans="1:54" x14ac:dyDescent="0.2">
      <c r="A343" s="171">
        <v>352</v>
      </c>
      <c r="B343" s="171" t="s">
        <v>118</v>
      </c>
      <c r="C343" s="171" t="s">
        <v>114</v>
      </c>
      <c r="D343" s="10" t="s">
        <v>650</v>
      </c>
      <c r="E343" s="193" t="s">
        <v>619</v>
      </c>
      <c r="F343" s="194">
        <v>6.15</v>
      </c>
      <c r="G343" s="200" t="e">
        <f t="shared" si="76"/>
        <v>#VALUE!</v>
      </c>
      <c r="H343" s="195" t="s">
        <v>9</v>
      </c>
      <c r="I343" s="189" t="s">
        <v>9</v>
      </c>
      <c r="J343" s="10" t="s">
        <v>8</v>
      </c>
      <c r="K343" s="189" t="s">
        <v>9</v>
      </c>
      <c r="L343" s="201"/>
      <c r="Z343" s="197" t="e">
        <f t="shared" si="77"/>
        <v>#VALUE!</v>
      </c>
      <c r="AE343" s="197" t="e">
        <f t="shared" si="78"/>
        <v>#VALUE!</v>
      </c>
      <c r="BB343" s="196"/>
    </row>
    <row r="344" spans="1:54" x14ac:dyDescent="0.2">
      <c r="A344" s="186">
        <v>353</v>
      </c>
      <c r="B344" s="171" t="s">
        <v>118</v>
      </c>
      <c r="C344" s="171" t="s">
        <v>114</v>
      </c>
      <c r="D344" s="10" t="s">
        <v>384</v>
      </c>
      <c r="E344" s="193" t="s">
        <v>621</v>
      </c>
      <c r="F344" s="194">
        <v>4.5</v>
      </c>
      <c r="G344" s="200" t="e">
        <f t="shared" si="76"/>
        <v>#VALUE!</v>
      </c>
      <c r="H344" s="195" t="s">
        <v>9</v>
      </c>
      <c r="I344" s="189" t="s">
        <v>9</v>
      </c>
      <c r="J344" s="10" t="s">
        <v>8</v>
      </c>
      <c r="K344" s="189" t="s">
        <v>9</v>
      </c>
      <c r="L344" s="201"/>
      <c r="Z344" s="197" t="e">
        <f t="shared" si="77"/>
        <v>#VALUE!</v>
      </c>
      <c r="AE344" s="197" t="e">
        <f t="shared" si="78"/>
        <v>#VALUE!</v>
      </c>
      <c r="BB344" s="196"/>
    </row>
    <row r="345" spans="1:54" x14ac:dyDescent="0.2">
      <c r="A345" s="186">
        <v>383</v>
      </c>
      <c r="B345" s="171" t="s">
        <v>119</v>
      </c>
      <c r="C345" s="171" t="s">
        <v>112</v>
      </c>
      <c r="D345" s="10" t="s">
        <v>653</v>
      </c>
      <c r="E345" s="193" t="s">
        <v>619</v>
      </c>
      <c r="F345" s="194">
        <v>6.15</v>
      </c>
      <c r="G345" s="200" t="e">
        <f t="shared" si="76"/>
        <v>#VALUE!</v>
      </c>
      <c r="H345" s="195" t="s">
        <v>9</v>
      </c>
      <c r="I345" s="189" t="s">
        <v>9</v>
      </c>
      <c r="J345" s="10" t="s">
        <v>8</v>
      </c>
      <c r="K345" s="189" t="s">
        <v>9</v>
      </c>
      <c r="L345" s="201"/>
      <c r="AC345" s="197" t="e">
        <f>N345*G345-T345</f>
        <v>#VALUE!</v>
      </c>
      <c r="BB345" s="196"/>
    </row>
    <row r="346" spans="1:54" x14ac:dyDescent="0.2">
      <c r="A346" s="186">
        <v>384</v>
      </c>
      <c r="B346" s="171" t="s">
        <v>119</v>
      </c>
      <c r="C346" s="171" t="s">
        <v>112</v>
      </c>
      <c r="D346" s="10" t="s">
        <v>385</v>
      </c>
      <c r="E346" s="193" t="s">
        <v>621</v>
      </c>
      <c r="F346" s="194">
        <v>4.5</v>
      </c>
      <c r="G346" s="200" t="e">
        <f t="shared" si="76"/>
        <v>#VALUE!</v>
      </c>
      <c r="H346" s="195" t="s">
        <v>9</v>
      </c>
      <c r="I346" s="189" t="s">
        <v>9</v>
      </c>
      <c r="J346" s="10" t="s">
        <v>8</v>
      </c>
      <c r="K346" s="189" t="s">
        <v>9</v>
      </c>
      <c r="L346" s="201"/>
      <c r="AC346" s="197" t="e">
        <f>N346*G346-T346</f>
        <v>#VALUE!</v>
      </c>
      <c r="AK346" s="197" t="e">
        <f>O346*G346-U346</f>
        <v>#VALUE!</v>
      </c>
      <c r="BB346" s="196"/>
    </row>
    <row r="347" spans="1:54" x14ac:dyDescent="0.2">
      <c r="A347" s="186">
        <v>423</v>
      </c>
      <c r="B347" s="171" t="s">
        <v>119</v>
      </c>
      <c r="C347" s="171" t="s">
        <v>113</v>
      </c>
      <c r="D347" s="10" t="s">
        <v>657</v>
      </c>
      <c r="E347" s="193" t="s">
        <v>641</v>
      </c>
      <c r="F347" s="200">
        <v>6.15</v>
      </c>
      <c r="G347" s="200" t="e">
        <f t="shared" si="76"/>
        <v>#VALUE!</v>
      </c>
      <c r="H347" s="195" t="s">
        <v>9</v>
      </c>
      <c r="I347" s="189" t="s">
        <v>9</v>
      </c>
      <c r="J347" s="10" t="s">
        <v>8</v>
      </c>
      <c r="K347" s="189" t="s">
        <v>9</v>
      </c>
      <c r="L347" s="201"/>
      <c r="AC347" s="197" t="e">
        <f>N347*G347-T347</f>
        <v>#VALUE!</v>
      </c>
      <c r="AK347" s="197" t="e">
        <f>O347*G347-U347</f>
        <v>#VALUE!</v>
      </c>
      <c r="BB347" s="196"/>
    </row>
    <row r="348" spans="1:54" x14ac:dyDescent="0.2">
      <c r="A348" s="171">
        <v>424</v>
      </c>
      <c r="B348" s="171" t="s">
        <v>119</v>
      </c>
      <c r="C348" s="171" t="s">
        <v>113</v>
      </c>
      <c r="D348" s="10" t="s">
        <v>386</v>
      </c>
      <c r="E348" s="193" t="s">
        <v>644</v>
      </c>
      <c r="F348" s="200">
        <v>4.5</v>
      </c>
      <c r="G348" s="200" t="e">
        <f t="shared" si="76"/>
        <v>#VALUE!</v>
      </c>
      <c r="H348" s="195" t="s">
        <v>9</v>
      </c>
      <c r="I348" s="189" t="s">
        <v>9</v>
      </c>
      <c r="J348" s="10" t="s">
        <v>8</v>
      </c>
      <c r="K348" s="189" t="s">
        <v>9</v>
      </c>
      <c r="L348" s="201"/>
      <c r="BB348" s="196"/>
    </row>
    <row r="349" spans="1:54" x14ac:dyDescent="0.2">
      <c r="A349" s="186">
        <v>462</v>
      </c>
      <c r="B349" s="171" t="s">
        <v>119</v>
      </c>
      <c r="C349" s="171" t="s">
        <v>114</v>
      </c>
      <c r="D349" s="10" t="s">
        <v>659</v>
      </c>
      <c r="E349" s="193" t="s">
        <v>660</v>
      </c>
      <c r="F349" s="202">
        <v>6.15</v>
      </c>
      <c r="G349" s="200" t="e">
        <f t="shared" si="76"/>
        <v>#VALUE!</v>
      </c>
      <c r="H349" s="195" t="s">
        <v>9</v>
      </c>
      <c r="I349" s="189" t="s">
        <v>9</v>
      </c>
      <c r="J349" s="10" t="s">
        <v>8</v>
      </c>
      <c r="K349" s="189" t="s">
        <v>9</v>
      </c>
      <c r="L349" s="201"/>
      <c r="Z349" s="197" t="e">
        <f>N349*H349/1000-T349</f>
        <v>#VALUE!</v>
      </c>
      <c r="AE349" s="197" t="e">
        <f>O349*H349/1000-U349</f>
        <v>#VALUE!</v>
      </c>
      <c r="AK349" s="197" t="e">
        <f>P349*H349/1000-V349</f>
        <v>#VALUE!</v>
      </c>
      <c r="BB349" s="196"/>
    </row>
    <row r="350" spans="1:54" x14ac:dyDescent="0.2">
      <c r="A350" s="171">
        <v>463</v>
      </c>
      <c r="B350" s="171" t="s">
        <v>119</v>
      </c>
      <c r="C350" s="171" t="s">
        <v>114</v>
      </c>
      <c r="D350" s="10" t="s">
        <v>387</v>
      </c>
      <c r="E350" s="193" t="s">
        <v>644</v>
      </c>
      <c r="F350" s="202">
        <v>4.5</v>
      </c>
      <c r="G350" s="200" t="e">
        <f t="shared" si="76"/>
        <v>#VALUE!</v>
      </c>
      <c r="H350" s="195" t="s">
        <v>9</v>
      </c>
      <c r="I350" s="189" t="s">
        <v>9</v>
      </c>
      <c r="J350" s="10" t="s">
        <v>8</v>
      </c>
      <c r="K350" s="189" t="s">
        <v>9</v>
      </c>
      <c r="L350" s="201"/>
      <c r="AH350" s="197" t="e">
        <f>N350*G350-T350</f>
        <v>#VALUE!</v>
      </c>
      <c r="BB350" s="196"/>
    </row>
    <row r="351" spans="1:54" x14ac:dyDescent="0.2">
      <c r="A351" s="171">
        <v>502</v>
      </c>
      <c r="B351" s="171" t="s">
        <v>120</v>
      </c>
      <c r="C351" s="171" t="s">
        <v>112</v>
      </c>
      <c r="D351" s="10" t="s">
        <v>662</v>
      </c>
      <c r="E351" s="193" t="s">
        <v>660</v>
      </c>
      <c r="F351" s="202">
        <v>6.1</v>
      </c>
      <c r="G351" s="200" t="e">
        <f t="shared" si="76"/>
        <v>#VALUE!</v>
      </c>
      <c r="H351" s="195" t="s">
        <v>9</v>
      </c>
      <c r="I351" s="189" t="s">
        <v>9</v>
      </c>
      <c r="J351" s="10" t="s">
        <v>8</v>
      </c>
      <c r="K351" s="189" t="s">
        <v>9</v>
      </c>
      <c r="L351" s="224"/>
      <c r="AH351" s="197" t="e">
        <f>N351*G351-T351</f>
        <v>#VALUE!</v>
      </c>
      <c r="AJ351" s="197" t="e">
        <f>O351*G351-U351</f>
        <v>#VALUE!</v>
      </c>
      <c r="BB351" s="196"/>
    </row>
    <row r="352" spans="1:54" x14ac:dyDescent="0.2">
      <c r="A352" s="186">
        <v>503</v>
      </c>
      <c r="B352" s="171" t="s">
        <v>120</v>
      </c>
      <c r="C352" s="171" t="s">
        <v>112</v>
      </c>
      <c r="D352" s="10" t="s">
        <v>388</v>
      </c>
      <c r="E352" s="193" t="s">
        <v>644</v>
      </c>
      <c r="F352" s="202">
        <v>4.4000000000000004</v>
      </c>
      <c r="G352" s="200" t="e">
        <f t="shared" si="76"/>
        <v>#VALUE!</v>
      </c>
      <c r="H352" s="195" t="s">
        <v>9</v>
      </c>
      <c r="I352" s="189" t="s">
        <v>9</v>
      </c>
      <c r="J352" s="10" t="s">
        <v>8</v>
      </c>
      <c r="K352" s="189" t="s">
        <v>9</v>
      </c>
      <c r="L352" s="224"/>
      <c r="AH352" s="197" t="e">
        <f>N352*G352-T352</f>
        <v>#VALUE!</v>
      </c>
      <c r="AJ352" s="197" t="e">
        <f>O352*G352-U352</f>
        <v>#VALUE!</v>
      </c>
      <c r="BB352" s="196"/>
    </row>
    <row r="353" spans="1:54" x14ac:dyDescent="0.2">
      <c r="A353" s="171">
        <v>541</v>
      </c>
      <c r="B353" s="171" t="s">
        <v>120</v>
      </c>
      <c r="C353" s="171" t="s">
        <v>113</v>
      </c>
      <c r="D353" s="10" t="s">
        <v>664</v>
      </c>
      <c r="E353" s="193" t="s">
        <v>660</v>
      </c>
      <c r="F353" s="202">
        <v>6.15</v>
      </c>
      <c r="G353" s="200" t="e">
        <f t="shared" si="76"/>
        <v>#VALUE!</v>
      </c>
      <c r="H353" s="195" t="s">
        <v>9</v>
      </c>
      <c r="I353" s="189" t="s">
        <v>9</v>
      </c>
      <c r="J353" s="10" t="s">
        <v>8</v>
      </c>
      <c r="K353" s="189" t="s">
        <v>9</v>
      </c>
      <c r="L353" s="201"/>
      <c r="Z353" s="197" t="e">
        <f>N353*H353/1000-T353</f>
        <v>#VALUE!</v>
      </c>
      <c r="AH353" s="197" t="e">
        <f>O353*H353/1000-U353</f>
        <v>#VALUE!</v>
      </c>
      <c r="AK353" s="197" t="e">
        <f>P353*H353/1000-V353</f>
        <v>#VALUE!</v>
      </c>
      <c r="BB353" s="196"/>
    </row>
    <row r="354" spans="1:54" x14ac:dyDescent="0.2">
      <c r="A354" s="186">
        <v>542</v>
      </c>
      <c r="B354" s="171" t="s">
        <v>120</v>
      </c>
      <c r="C354" s="171" t="s">
        <v>113</v>
      </c>
      <c r="D354" s="10" t="s">
        <v>389</v>
      </c>
      <c r="E354" s="193" t="s">
        <v>644</v>
      </c>
      <c r="F354" s="202">
        <v>4.5</v>
      </c>
      <c r="G354" s="200" t="e">
        <f t="shared" si="76"/>
        <v>#VALUE!</v>
      </c>
      <c r="H354" s="195" t="s">
        <v>9</v>
      </c>
      <c r="I354" s="189" t="s">
        <v>9</v>
      </c>
      <c r="J354" s="10" t="s">
        <v>8</v>
      </c>
      <c r="K354" s="189" t="s">
        <v>9</v>
      </c>
      <c r="L354" s="201"/>
      <c r="AH354" s="197" t="e">
        <f>N354*G354-T354</f>
        <v>#VALUE!</v>
      </c>
      <c r="AJ354" s="197" t="e">
        <f>O354*G354-U354</f>
        <v>#VALUE!</v>
      </c>
      <c r="BB354" s="196"/>
    </row>
    <row r="355" spans="1:54" x14ac:dyDescent="0.2">
      <c r="A355" s="171">
        <v>580</v>
      </c>
      <c r="B355" s="171" t="s">
        <v>120</v>
      </c>
      <c r="C355" s="171" t="s">
        <v>114</v>
      </c>
      <c r="D355" s="10" t="s">
        <v>666</v>
      </c>
      <c r="E355" s="193" t="s">
        <v>660</v>
      </c>
      <c r="F355" s="202">
        <v>6.15</v>
      </c>
      <c r="G355" s="200" t="e">
        <f t="shared" si="76"/>
        <v>#VALUE!</v>
      </c>
      <c r="H355" s="195" t="s">
        <v>9</v>
      </c>
      <c r="I355" s="189" t="s">
        <v>9</v>
      </c>
      <c r="J355" s="10" t="s">
        <v>8</v>
      </c>
      <c r="K355" s="189"/>
      <c r="L355" s="201"/>
      <c r="AH355" s="197" t="e">
        <f>N355*G355-T355</f>
        <v>#VALUE!</v>
      </c>
      <c r="AJ355" s="197" t="e">
        <f>O355*G355-U355</f>
        <v>#VALUE!</v>
      </c>
      <c r="BB355" s="196"/>
    </row>
    <row r="356" spans="1:54" x14ac:dyDescent="0.2">
      <c r="A356" s="186">
        <v>581</v>
      </c>
      <c r="B356" s="171" t="s">
        <v>120</v>
      </c>
      <c r="C356" s="171" t="s">
        <v>114</v>
      </c>
      <c r="D356" s="10" t="s">
        <v>390</v>
      </c>
      <c r="E356" s="193" t="s">
        <v>644</v>
      </c>
      <c r="F356" s="202">
        <v>4.5</v>
      </c>
      <c r="G356" s="200" t="e">
        <f t="shared" si="76"/>
        <v>#VALUE!</v>
      </c>
      <c r="H356" s="195" t="s">
        <v>9</v>
      </c>
      <c r="I356" s="189" t="s">
        <v>9</v>
      </c>
      <c r="J356" s="10" t="s">
        <v>8</v>
      </c>
      <c r="K356" s="189"/>
      <c r="L356" s="201"/>
      <c r="AJ356" s="197" t="e">
        <f>N356*G356-T356</f>
        <v>#VALUE!</v>
      </c>
      <c r="BB356" s="196"/>
    </row>
    <row r="357" spans="1:54" x14ac:dyDescent="0.2">
      <c r="A357" s="186">
        <v>120</v>
      </c>
      <c r="B357" s="171" t="s">
        <v>116</v>
      </c>
      <c r="C357" s="171" t="s">
        <v>112</v>
      </c>
      <c r="D357" s="209" t="s">
        <v>279</v>
      </c>
      <c r="E357" s="193" t="s">
        <v>743</v>
      </c>
      <c r="F357" s="194">
        <v>20.149999999999999</v>
      </c>
      <c r="G357" s="200">
        <f t="shared" si="76"/>
        <v>3</v>
      </c>
      <c r="H357" s="208">
        <v>3000</v>
      </c>
      <c r="I357" s="10" t="s">
        <v>645</v>
      </c>
      <c r="J357" s="10" t="s">
        <v>40</v>
      </c>
      <c r="K357" s="10" t="s">
        <v>738</v>
      </c>
      <c r="L357" s="10"/>
      <c r="Z357" s="197">
        <f>N357*H357/1000-T357</f>
        <v>0</v>
      </c>
      <c r="AE357" s="197">
        <f>O357*H357/1000-U357</f>
        <v>0</v>
      </c>
      <c r="BB357" s="196"/>
    </row>
    <row r="358" spans="1:54" x14ac:dyDescent="0.2">
      <c r="A358" s="186">
        <v>584</v>
      </c>
      <c r="B358" s="171" t="s">
        <v>120</v>
      </c>
      <c r="C358" s="171" t="s">
        <v>114</v>
      </c>
      <c r="D358" s="216" t="s">
        <v>340</v>
      </c>
      <c r="E358" s="193" t="s">
        <v>679</v>
      </c>
      <c r="F358" s="202">
        <v>53.55</v>
      </c>
      <c r="G358" s="200">
        <f t="shared" si="76"/>
        <v>2.83</v>
      </c>
      <c r="H358" s="203">
        <v>2830</v>
      </c>
      <c r="I358" s="10" t="s">
        <v>656</v>
      </c>
      <c r="J358" s="10" t="s">
        <v>109</v>
      </c>
      <c r="K358" s="10" t="s">
        <v>836</v>
      </c>
      <c r="L358" s="193"/>
      <c r="BB358" s="196"/>
    </row>
    <row r="359" spans="1:54" x14ac:dyDescent="0.2">
      <c r="A359" s="171">
        <v>472</v>
      </c>
      <c r="B359" s="171" t="s">
        <v>119</v>
      </c>
      <c r="C359" s="171" t="s">
        <v>114</v>
      </c>
      <c r="D359" s="216" t="s">
        <v>396</v>
      </c>
      <c r="E359" s="193" t="s">
        <v>843</v>
      </c>
      <c r="F359" s="202">
        <v>7.75</v>
      </c>
      <c r="G359" s="200">
        <f t="shared" si="76"/>
        <v>2.4</v>
      </c>
      <c r="H359" s="203">
        <v>2400</v>
      </c>
      <c r="I359" s="10" t="s">
        <v>656</v>
      </c>
      <c r="J359" s="10" t="s">
        <v>34</v>
      </c>
      <c r="K359" s="10" t="s">
        <v>756</v>
      </c>
      <c r="L359" s="193"/>
      <c r="AH359" s="197">
        <f>N359*G359-T359</f>
        <v>0</v>
      </c>
      <c r="AP359" s="197">
        <f>O359*G359-U359</f>
        <v>0</v>
      </c>
      <c r="AR359" s="197">
        <f>P359*G359-V359</f>
        <v>0</v>
      </c>
      <c r="BB359" s="196"/>
    </row>
    <row r="360" spans="1:54" x14ac:dyDescent="0.2">
      <c r="A360" s="186">
        <v>590</v>
      </c>
      <c r="B360" s="171" t="s">
        <v>120</v>
      </c>
      <c r="C360" s="171" t="s">
        <v>114</v>
      </c>
      <c r="D360" s="216" t="s">
        <v>398</v>
      </c>
      <c r="E360" s="193" t="s">
        <v>843</v>
      </c>
      <c r="F360" s="202">
        <v>7.75</v>
      </c>
      <c r="G360" s="200">
        <f t="shared" si="76"/>
        <v>2.4</v>
      </c>
      <c r="H360" s="203">
        <v>2400</v>
      </c>
      <c r="I360" s="10" t="s">
        <v>656</v>
      </c>
      <c r="J360" s="10" t="s">
        <v>34</v>
      </c>
      <c r="K360" s="10" t="s">
        <v>756</v>
      </c>
      <c r="L360" s="193"/>
      <c r="BB360" s="196"/>
    </row>
    <row r="361" spans="1:54" x14ac:dyDescent="0.2">
      <c r="A361" s="186">
        <v>473</v>
      </c>
      <c r="B361" s="171" t="s">
        <v>119</v>
      </c>
      <c r="C361" s="171" t="s">
        <v>114</v>
      </c>
      <c r="D361" s="216" t="s">
        <v>415</v>
      </c>
      <c r="E361" s="193" t="s">
        <v>845</v>
      </c>
      <c r="F361" s="202">
        <v>17.7</v>
      </c>
      <c r="G361" s="200">
        <f t="shared" si="76"/>
        <v>2.4</v>
      </c>
      <c r="H361" s="203">
        <v>2400</v>
      </c>
      <c r="I361" s="10" t="s">
        <v>656</v>
      </c>
      <c r="J361" s="10" t="s">
        <v>46</v>
      </c>
      <c r="K361" s="10" t="s">
        <v>763</v>
      </c>
      <c r="L361" s="193"/>
      <c r="AP361" s="197">
        <f>N361*2.67-T361</f>
        <v>0</v>
      </c>
      <c r="AR361" s="197">
        <f>O361*G361-U361</f>
        <v>0</v>
      </c>
      <c r="BB361" s="196"/>
    </row>
    <row r="362" spans="1:54" x14ac:dyDescent="0.2">
      <c r="A362" s="186">
        <v>591</v>
      </c>
      <c r="B362" s="171" t="s">
        <v>120</v>
      </c>
      <c r="C362" s="171" t="s">
        <v>114</v>
      </c>
      <c r="D362" s="216" t="s">
        <v>480</v>
      </c>
      <c r="E362" s="193" t="s">
        <v>845</v>
      </c>
      <c r="F362" s="202">
        <v>17.7</v>
      </c>
      <c r="G362" s="200">
        <f t="shared" si="76"/>
        <v>2.4</v>
      </c>
      <c r="H362" s="203">
        <v>2400</v>
      </c>
      <c r="I362" s="10" t="s">
        <v>656</v>
      </c>
      <c r="J362" s="10" t="s">
        <v>46</v>
      </c>
      <c r="K362" s="10" t="s">
        <v>763</v>
      </c>
      <c r="L362" s="193"/>
      <c r="BB362" s="196"/>
    </row>
    <row r="363" spans="1:54" x14ac:dyDescent="0.2">
      <c r="A363" s="171">
        <v>466</v>
      </c>
      <c r="B363" s="171" t="s">
        <v>119</v>
      </c>
      <c r="C363" s="171" t="s">
        <v>114</v>
      </c>
      <c r="D363" s="216" t="s">
        <v>236</v>
      </c>
      <c r="E363" s="193" t="s">
        <v>679</v>
      </c>
      <c r="F363" s="202">
        <v>53.55</v>
      </c>
      <c r="G363" s="200">
        <f t="shared" si="76"/>
        <v>2.83</v>
      </c>
      <c r="H363" s="203">
        <v>2830</v>
      </c>
      <c r="I363" s="10" t="s">
        <v>1466</v>
      </c>
      <c r="J363" s="10" t="s">
        <v>109</v>
      </c>
      <c r="K363" s="10" t="s">
        <v>836</v>
      </c>
      <c r="L363" s="193"/>
      <c r="AL363" s="197">
        <f>N363*G363-T363</f>
        <v>0</v>
      </c>
      <c r="AP363" s="197">
        <f>O363*G363-U363</f>
        <v>0</v>
      </c>
      <c r="AR363" s="197">
        <f>P363*G363-V363</f>
        <v>0</v>
      </c>
      <c r="BB363" s="196"/>
    </row>
    <row r="364" spans="1:54" ht="45" x14ac:dyDescent="0.2">
      <c r="A364" s="186">
        <v>114</v>
      </c>
      <c r="B364" s="171" t="s">
        <v>116</v>
      </c>
      <c r="C364" s="171" t="s">
        <v>112</v>
      </c>
      <c r="D364" s="209" t="s">
        <v>274</v>
      </c>
      <c r="E364" s="193" t="s">
        <v>1019</v>
      </c>
      <c r="F364" s="194">
        <v>13.05</v>
      </c>
      <c r="G364" s="200">
        <f t="shared" si="76"/>
        <v>2.61</v>
      </c>
      <c r="H364" s="208">
        <v>2610</v>
      </c>
      <c r="I364" s="10" t="s">
        <v>605</v>
      </c>
      <c r="J364" s="10" t="s">
        <v>34</v>
      </c>
      <c r="K364" s="10"/>
      <c r="L364" s="10" t="s">
        <v>35</v>
      </c>
      <c r="BB364" s="196"/>
    </row>
    <row r="365" spans="1:54" x14ac:dyDescent="0.2">
      <c r="A365" s="186">
        <v>186</v>
      </c>
      <c r="B365" s="171" t="s">
        <v>116</v>
      </c>
      <c r="C365" s="171" t="s">
        <v>113</v>
      </c>
      <c r="D365" s="216" t="s">
        <v>294</v>
      </c>
      <c r="E365" s="193" t="s">
        <v>1138</v>
      </c>
      <c r="F365" s="198">
        <v>10.8</v>
      </c>
      <c r="G365" s="200">
        <f t="shared" si="76"/>
        <v>2.61</v>
      </c>
      <c r="H365" s="220">
        <v>2610</v>
      </c>
      <c r="I365" s="199" t="s">
        <v>67</v>
      </c>
      <c r="J365" s="10" t="s">
        <v>66</v>
      </c>
      <c r="K365" s="10" t="s">
        <v>1112</v>
      </c>
      <c r="L365" s="193"/>
      <c r="AH365" s="197">
        <f>N365*G365-T365</f>
        <v>0</v>
      </c>
      <c r="AP365" s="197">
        <f>O365*G365-U365</f>
        <v>0</v>
      </c>
      <c r="AR365" s="197">
        <f>P365*G365-V365</f>
        <v>0</v>
      </c>
      <c r="BB365" s="196"/>
    </row>
    <row r="366" spans="1:54" x14ac:dyDescent="0.2">
      <c r="A366" s="171">
        <v>175</v>
      </c>
      <c r="B366" s="171" t="s">
        <v>116</v>
      </c>
      <c r="C366" s="171" t="s">
        <v>113</v>
      </c>
      <c r="D366" s="216" t="s">
        <v>283</v>
      </c>
      <c r="E366" s="193" t="s">
        <v>1138</v>
      </c>
      <c r="F366" s="198">
        <v>8.65</v>
      </c>
      <c r="G366" s="200">
        <f t="shared" si="76"/>
        <v>2.61</v>
      </c>
      <c r="H366" s="220">
        <v>2610</v>
      </c>
      <c r="I366" s="199" t="s">
        <v>64</v>
      </c>
      <c r="J366" s="10" t="s">
        <v>63</v>
      </c>
      <c r="K366" s="10" t="s">
        <v>1156</v>
      </c>
      <c r="L366" s="193"/>
      <c r="BB366" s="196"/>
    </row>
    <row r="367" spans="1:54" x14ac:dyDescent="0.2">
      <c r="A367" s="171">
        <v>181</v>
      </c>
      <c r="B367" s="171" t="s">
        <v>116</v>
      </c>
      <c r="C367" s="171" t="s">
        <v>113</v>
      </c>
      <c r="D367" s="216" t="s">
        <v>289</v>
      </c>
      <c r="E367" s="193" t="s">
        <v>1162</v>
      </c>
      <c r="F367" s="198">
        <v>4.8</v>
      </c>
      <c r="G367" s="200">
        <f t="shared" si="76"/>
        <v>2.61</v>
      </c>
      <c r="H367" s="220">
        <v>2610</v>
      </c>
      <c r="I367" s="199" t="s">
        <v>64</v>
      </c>
      <c r="J367" s="10" t="s">
        <v>63</v>
      </c>
      <c r="K367" s="10" t="s">
        <v>1112</v>
      </c>
      <c r="L367" s="193"/>
      <c r="AQ367" s="197">
        <f>N367*G367-T367</f>
        <v>0</v>
      </c>
      <c r="BB367" s="196"/>
    </row>
    <row r="368" spans="1:54" x14ac:dyDescent="0.2">
      <c r="A368" s="171">
        <v>184</v>
      </c>
      <c r="B368" s="171" t="s">
        <v>116</v>
      </c>
      <c r="C368" s="171" t="s">
        <v>113</v>
      </c>
      <c r="D368" s="216" t="s">
        <v>292</v>
      </c>
      <c r="E368" s="193" t="s">
        <v>1138</v>
      </c>
      <c r="F368" s="222">
        <v>3.2</v>
      </c>
      <c r="G368" s="200">
        <f t="shared" si="76"/>
        <v>2.61</v>
      </c>
      <c r="H368" s="220">
        <v>2610</v>
      </c>
      <c r="I368" s="199" t="s">
        <v>64</v>
      </c>
      <c r="J368" s="10" t="s">
        <v>63</v>
      </c>
      <c r="K368" s="10" t="s">
        <v>1112</v>
      </c>
      <c r="L368" s="193"/>
      <c r="AP368" s="197">
        <f>N368*2.67-T368</f>
        <v>0</v>
      </c>
      <c r="AQ368" s="197">
        <f>O368*2.4-U368</f>
        <v>0</v>
      </c>
      <c r="AY368" s="197">
        <f>P368*2.67-V368</f>
        <v>0</v>
      </c>
      <c r="BB368" s="196"/>
    </row>
    <row r="369" spans="1:54" x14ac:dyDescent="0.2">
      <c r="A369" s="186">
        <v>180</v>
      </c>
      <c r="B369" s="171" t="s">
        <v>116</v>
      </c>
      <c r="C369" s="171" t="s">
        <v>113</v>
      </c>
      <c r="D369" s="216" t="s">
        <v>288</v>
      </c>
      <c r="E369" s="193" t="s">
        <v>1160</v>
      </c>
      <c r="F369" s="198">
        <v>5.5</v>
      </c>
      <c r="G369" s="200">
        <f t="shared" si="76"/>
        <v>2.61</v>
      </c>
      <c r="H369" s="219">
        <v>2610</v>
      </c>
      <c r="I369" s="199" t="s">
        <v>64</v>
      </c>
      <c r="J369" s="10" t="s">
        <v>34</v>
      </c>
      <c r="K369" s="10" t="s">
        <v>1098</v>
      </c>
      <c r="L369" s="193"/>
      <c r="AP369" s="197">
        <f>N369*G369-T369</f>
        <v>0</v>
      </c>
      <c r="BB369" s="196"/>
    </row>
    <row r="370" spans="1:54" x14ac:dyDescent="0.2">
      <c r="A370" s="186">
        <v>183</v>
      </c>
      <c r="B370" s="171" t="s">
        <v>116</v>
      </c>
      <c r="C370" s="171" t="s">
        <v>113</v>
      </c>
      <c r="D370" s="216" t="s">
        <v>291</v>
      </c>
      <c r="E370" s="193" t="s">
        <v>1138</v>
      </c>
      <c r="F370" s="222">
        <v>3.75</v>
      </c>
      <c r="G370" s="200">
        <f t="shared" si="76"/>
        <v>2.61</v>
      </c>
      <c r="H370" s="220">
        <v>2610</v>
      </c>
      <c r="I370" s="199" t="s">
        <v>64</v>
      </c>
      <c r="J370" s="10" t="s">
        <v>34</v>
      </c>
      <c r="K370" s="10" t="s">
        <v>1112</v>
      </c>
      <c r="L370" s="193"/>
      <c r="BB370" s="196"/>
    </row>
    <row r="371" spans="1:54" x14ac:dyDescent="0.2">
      <c r="A371" s="171">
        <v>235</v>
      </c>
      <c r="B371" s="171" t="s">
        <v>116</v>
      </c>
      <c r="C371" s="171" t="s">
        <v>117</v>
      </c>
      <c r="D371" s="216" t="s">
        <v>307</v>
      </c>
      <c r="E371" s="193" t="s">
        <v>1166</v>
      </c>
      <c r="F371" s="194">
        <v>32.200000000000003</v>
      </c>
      <c r="G371" s="200">
        <f t="shared" si="76"/>
        <v>3</v>
      </c>
      <c r="H371" s="208">
        <v>3000</v>
      </c>
      <c r="I371" s="10" t="s">
        <v>1168</v>
      </c>
      <c r="J371" s="10" t="s">
        <v>72</v>
      </c>
      <c r="K371" s="10" t="s">
        <v>1017</v>
      </c>
      <c r="L371" s="10"/>
      <c r="AP371" s="197">
        <f>N371*2.67-T371</f>
        <v>0</v>
      </c>
      <c r="AQ371" s="197">
        <f>O371*2.4-U371</f>
        <v>0</v>
      </c>
      <c r="BB371" s="196"/>
    </row>
    <row r="372" spans="1:54" x14ac:dyDescent="0.2">
      <c r="A372" s="186">
        <v>236</v>
      </c>
      <c r="B372" s="171" t="s">
        <v>116</v>
      </c>
      <c r="C372" s="171" t="s">
        <v>117</v>
      </c>
      <c r="D372" s="216" t="s">
        <v>308</v>
      </c>
      <c r="E372" s="193" t="s">
        <v>1019</v>
      </c>
      <c r="F372" s="194">
        <v>24.1</v>
      </c>
      <c r="G372" s="200">
        <f t="shared" si="76"/>
        <v>3</v>
      </c>
      <c r="H372" s="208">
        <v>3000</v>
      </c>
      <c r="I372" s="210" t="s">
        <v>29</v>
      </c>
      <c r="J372" s="10" t="s">
        <v>72</v>
      </c>
      <c r="K372" s="10" t="s">
        <v>1017</v>
      </c>
      <c r="L372" s="10"/>
      <c r="AP372" s="197">
        <f>N372*2.67-T372</f>
        <v>0</v>
      </c>
      <c r="AQ372" s="197">
        <f>O372*2.4-U372</f>
        <v>0</v>
      </c>
      <c r="AY372" s="197">
        <f>P372*2.67-V372</f>
        <v>0</v>
      </c>
      <c r="BB372" s="196"/>
    </row>
    <row r="373" spans="1:54" x14ac:dyDescent="0.2">
      <c r="A373" s="186">
        <v>240</v>
      </c>
      <c r="B373" s="171" t="s">
        <v>116</v>
      </c>
      <c r="C373" s="171" t="s">
        <v>117</v>
      </c>
      <c r="D373" s="216" t="s">
        <v>312</v>
      </c>
      <c r="E373" s="193" t="s">
        <v>1202</v>
      </c>
      <c r="F373" s="194">
        <v>16.899999999999999</v>
      </c>
      <c r="G373" s="200">
        <f t="shared" si="76"/>
        <v>3</v>
      </c>
      <c r="H373" s="208">
        <v>3000</v>
      </c>
      <c r="I373" s="10" t="s">
        <v>1470</v>
      </c>
      <c r="J373" s="10" t="s">
        <v>36</v>
      </c>
      <c r="K373" s="10" t="s">
        <v>1169</v>
      </c>
      <c r="L373" s="10"/>
      <c r="AP373" s="197">
        <f>N373*2.67-T373</f>
        <v>0</v>
      </c>
      <c r="AR373" s="197">
        <f>O373*G373-U373</f>
        <v>0</v>
      </c>
      <c r="BB373" s="196"/>
    </row>
    <row r="374" spans="1:54" ht="45" x14ac:dyDescent="0.2">
      <c r="A374" s="171">
        <v>367</v>
      </c>
      <c r="B374" s="171" t="s">
        <v>118</v>
      </c>
      <c r="C374" s="171" t="s">
        <v>114</v>
      </c>
      <c r="D374" s="10" t="s">
        <v>434</v>
      </c>
      <c r="E374" s="193" t="s">
        <v>669</v>
      </c>
      <c r="F374" s="194">
        <v>41.9</v>
      </c>
      <c r="G374" s="194"/>
      <c r="H374" s="208">
        <v>2910</v>
      </c>
      <c r="I374" s="10" t="s">
        <v>670</v>
      </c>
      <c r="J374" s="10" t="s">
        <v>102</v>
      </c>
      <c r="K374" s="10" t="s">
        <v>671</v>
      </c>
      <c r="L374" s="193"/>
      <c r="Z374" s="197">
        <f>N374*H374/1000-T374</f>
        <v>0</v>
      </c>
      <c r="AB374" s="197">
        <f>10.4*3.4</f>
        <v>35.36</v>
      </c>
      <c r="AE374" s="197">
        <f>O374*H374/1000-U374</f>
        <v>0</v>
      </c>
    </row>
    <row r="375" spans="1:54" x14ac:dyDescent="0.2">
      <c r="A375" s="186">
        <v>57</v>
      </c>
      <c r="B375" s="171" t="s">
        <v>111</v>
      </c>
      <c r="C375" s="171" t="s">
        <v>113</v>
      </c>
      <c r="D375" s="10" t="s">
        <v>712</v>
      </c>
      <c r="E375" s="214" t="s">
        <v>16</v>
      </c>
      <c r="F375" s="202">
        <v>30</v>
      </c>
      <c r="G375" s="200">
        <f t="shared" ref="G375:G380" si="79">H375/1000</f>
        <v>2.4</v>
      </c>
      <c r="H375" s="203">
        <v>2400</v>
      </c>
      <c r="I375" s="10" t="s">
        <v>603</v>
      </c>
      <c r="J375" s="10" t="s">
        <v>17</v>
      </c>
      <c r="K375" s="205" t="s">
        <v>18</v>
      </c>
      <c r="L375" s="201"/>
      <c r="M375" s="196">
        <v>29</v>
      </c>
      <c r="N375" s="196">
        <f t="shared" ref="N375:N380" si="80">M375</f>
        <v>29</v>
      </c>
      <c r="T375" s="196">
        <f>1.2*2.1</f>
        <v>2.52</v>
      </c>
      <c r="Z375" s="197">
        <f>N375*H375/1000-T375</f>
        <v>67.08</v>
      </c>
      <c r="AE375" s="197">
        <f>O375*H375/1000-U375</f>
        <v>0</v>
      </c>
      <c r="BB375" s="196"/>
    </row>
    <row r="376" spans="1:54" x14ac:dyDescent="0.2">
      <c r="A376" s="171">
        <v>58</v>
      </c>
      <c r="B376" s="171" t="s">
        <v>111</v>
      </c>
      <c r="C376" s="171" t="s">
        <v>113</v>
      </c>
      <c r="D376" s="10" t="s">
        <v>713</v>
      </c>
      <c r="E376" s="214" t="s">
        <v>19</v>
      </c>
      <c r="F376" s="202">
        <v>42.85</v>
      </c>
      <c r="G376" s="200">
        <f t="shared" si="79"/>
        <v>2.4</v>
      </c>
      <c r="H376" s="203">
        <v>2400</v>
      </c>
      <c r="I376" s="10" t="s">
        <v>603</v>
      </c>
      <c r="J376" s="10" t="s">
        <v>17</v>
      </c>
      <c r="K376" s="205" t="s">
        <v>18</v>
      </c>
      <c r="L376" s="201"/>
      <c r="M376" s="196">
        <f>32.15</f>
        <v>32.15</v>
      </c>
      <c r="N376" s="196">
        <f t="shared" si="80"/>
        <v>32.15</v>
      </c>
      <c r="T376" s="196">
        <f>1.2*2.1</f>
        <v>2.52</v>
      </c>
      <c r="Z376" s="197">
        <f>N376*H376/1000-T376</f>
        <v>74.64</v>
      </c>
      <c r="AE376" s="197">
        <f>O376*H376/1000-U376</f>
        <v>0</v>
      </c>
      <c r="BB376" s="196"/>
    </row>
    <row r="377" spans="1:54" x14ac:dyDescent="0.2">
      <c r="A377" s="171">
        <v>88</v>
      </c>
      <c r="B377" s="171" t="s">
        <v>111</v>
      </c>
      <c r="C377" s="171" t="s">
        <v>114</v>
      </c>
      <c r="D377" s="10" t="s">
        <v>733</v>
      </c>
      <c r="E377" s="193" t="s">
        <v>734</v>
      </c>
      <c r="F377" s="202">
        <v>18</v>
      </c>
      <c r="G377" s="200">
        <f t="shared" si="79"/>
        <v>2.4</v>
      </c>
      <c r="H377" s="203">
        <v>2400</v>
      </c>
      <c r="I377" s="10" t="s">
        <v>603</v>
      </c>
      <c r="J377" s="10" t="s">
        <v>17</v>
      </c>
      <c r="K377" s="207" t="s">
        <v>26</v>
      </c>
      <c r="L377" s="193"/>
      <c r="M377" s="196">
        <v>18.5</v>
      </c>
      <c r="N377" s="196">
        <f t="shared" si="80"/>
        <v>18.5</v>
      </c>
      <c r="T377" s="196">
        <f>1.1*2.1</f>
        <v>2.3100000000000005</v>
      </c>
      <c r="BB377" s="196"/>
    </row>
    <row r="378" spans="1:54" x14ac:dyDescent="0.2">
      <c r="A378" s="186">
        <v>405</v>
      </c>
      <c r="B378" s="171" t="s">
        <v>119</v>
      </c>
      <c r="C378" s="171" t="s">
        <v>112</v>
      </c>
      <c r="D378" s="10" t="s">
        <v>429</v>
      </c>
      <c r="E378" s="193" t="s">
        <v>784</v>
      </c>
      <c r="F378" s="194">
        <v>5.3</v>
      </c>
      <c r="G378" s="200">
        <f t="shared" si="79"/>
        <v>2.4</v>
      </c>
      <c r="H378" s="208">
        <v>2400</v>
      </c>
      <c r="I378" s="10" t="s">
        <v>777</v>
      </c>
      <c r="J378" s="10" t="s">
        <v>45</v>
      </c>
      <c r="K378" s="10" t="s">
        <v>738</v>
      </c>
      <c r="L378" s="193"/>
      <c r="M378" s="196">
        <f>1.2*2+2+0.66</f>
        <v>5.0600000000000005</v>
      </c>
      <c r="N378" s="196">
        <f t="shared" si="80"/>
        <v>5.0600000000000005</v>
      </c>
      <c r="AL378" s="197">
        <f>N378*G378-T378</f>
        <v>12.144</v>
      </c>
      <c r="AP378" s="197">
        <f>O378*G378-U378</f>
        <v>0</v>
      </c>
      <c r="AX378" s="197">
        <f>P378*G378-V378</f>
        <v>0</v>
      </c>
    </row>
    <row r="379" spans="1:54" x14ac:dyDescent="0.2">
      <c r="A379" s="186">
        <v>444</v>
      </c>
      <c r="B379" s="171" t="s">
        <v>119</v>
      </c>
      <c r="C379" s="171" t="s">
        <v>113</v>
      </c>
      <c r="D379" s="10" t="s">
        <v>430</v>
      </c>
      <c r="E379" s="193" t="s">
        <v>789</v>
      </c>
      <c r="F379" s="200">
        <v>5.3</v>
      </c>
      <c r="G379" s="200">
        <f t="shared" si="79"/>
        <v>2.4</v>
      </c>
      <c r="H379" s="203">
        <v>2400</v>
      </c>
      <c r="I379" s="10" t="s">
        <v>766</v>
      </c>
      <c r="J379" s="10" t="s">
        <v>45</v>
      </c>
      <c r="K379" s="10" t="s">
        <v>738</v>
      </c>
      <c r="L379" s="193"/>
      <c r="M379" s="196">
        <f>1.2*2+2+0.66</f>
        <v>5.0600000000000005</v>
      </c>
      <c r="N379" s="196">
        <f t="shared" si="80"/>
        <v>5.0600000000000005</v>
      </c>
      <c r="AL379" s="197">
        <f>N379*G379-T379</f>
        <v>12.144</v>
      </c>
      <c r="AP379" s="197">
        <f>O379*G379-U379</f>
        <v>0</v>
      </c>
      <c r="AX379" s="197">
        <f>P379*G379-V379</f>
        <v>0</v>
      </c>
      <c r="BB379" s="196">
        <f>N379</f>
        <v>5.0600000000000005</v>
      </c>
    </row>
    <row r="380" spans="1:54" x14ac:dyDescent="0.2">
      <c r="A380" s="171">
        <v>484</v>
      </c>
      <c r="B380" s="171" t="s">
        <v>119</v>
      </c>
      <c r="C380" s="171" t="s">
        <v>114</v>
      </c>
      <c r="D380" s="10" t="s">
        <v>431</v>
      </c>
      <c r="E380" s="193" t="s">
        <v>789</v>
      </c>
      <c r="F380" s="202">
        <v>5.3</v>
      </c>
      <c r="G380" s="200">
        <f t="shared" si="79"/>
        <v>2.4</v>
      </c>
      <c r="H380" s="203">
        <v>2400</v>
      </c>
      <c r="I380" s="10" t="s">
        <v>766</v>
      </c>
      <c r="J380" s="10" t="s">
        <v>45</v>
      </c>
      <c r="K380" s="10" t="s">
        <v>738</v>
      </c>
      <c r="L380" s="193"/>
      <c r="M380" s="196">
        <f>1.2*2+2+0.66</f>
        <v>5.0600000000000005</v>
      </c>
      <c r="N380" s="196">
        <f t="shared" si="80"/>
        <v>5.0600000000000005</v>
      </c>
      <c r="AL380" s="197">
        <f>N380*G380-T380</f>
        <v>12.144</v>
      </c>
      <c r="AP380" s="197">
        <f>O380*G380-U380</f>
        <v>0</v>
      </c>
      <c r="AX380" s="197">
        <f>P380*G380-V380</f>
        <v>0</v>
      </c>
    </row>
    <row r="381" spans="1:54" x14ac:dyDescent="0.2">
      <c r="A381" s="186">
        <v>315</v>
      </c>
      <c r="B381" s="171" t="s">
        <v>118</v>
      </c>
      <c r="C381" s="171" t="s">
        <v>113</v>
      </c>
      <c r="D381" s="216" t="s">
        <v>324</v>
      </c>
      <c r="E381" s="193" t="s">
        <v>679</v>
      </c>
      <c r="F381" s="202">
        <v>50.2</v>
      </c>
      <c r="G381" s="202"/>
      <c r="H381" s="203">
        <v>2830</v>
      </c>
      <c r="I381" s="10" t="s">
        <v>656</v>
      </c>
      <c r="J381" s="189" t="s">
        <v>81</v>
      </c>
      <c r="K381" s="10" t="s">
        <v>836</v>
      </c>
      <c r="L381" s="212"/>
    </row>
    <row r="382" spans="1:54" x14ac:dyDescent="0.2">
      <c r="A382" s="186">
        <v>425</v>
      </c>
      <c r="B382" s="171" t="s">
        <v>119</v>
      </c>
      <c r="C382" s="171" t="s">
        <v>113</v>
      </c>
      <c r="D382" s="216" t="s">
        <v>325</v>
      </c>
      <c r="E382" s="193" t="s">
        <v>679</v>
      </c>
      <c r="F382" s="200">
        <v>50.2</v>
      </c>
      <c r="G382" s="200"/>
      <c r="H382" s="203">
        <v>2830</v>
      </c>
      <c r="I382" s="10" t="s">
        <v>656</v>
      </c>
      <c r="J382" s="189" t="s">
        <v>81</v>
      </c>
      <c r="K382" s="10" t="s">
        <v>836</v>
      </c>
      <c r="L382" s="193"/>
      <c r="AP382" s="197">
        <f>N382*G382-T382</f>
        <v>0</v>
      </c>
      <c r="AS382" s="197">
        <f>O382*G382-U382</f>
        <v>0</v>
      </c>
    </row>
    <row r="383" spans="1:54" x14ac:dyDescent="0.2">
      <c r="A383" s="186">
        <v>543</v>
      </c>
      <c r="B383" s="171" t="s">
        <v>120</v>
      </c>
      <c r="C383" s="171" t="s">
        <v>113</v>
      </c>
      <c r="D383" s="216" t="s">
        <v>326</v>
      </c>
      <c r="E383" s="193" t="s">
        <v>679</v>
      </c>
      <c r="F383" s="202">
        <v>50.2</v>
      </c>
      <c r="G383" s="202"/>
      <c r="H383" s="203">
        <v>2830</v>
      </c>
      <c r="I383" s="10" t="s">
        <v>656</v>
      </c>
      <c r="J383" s="189" t="s">
        <v>81</v>
      </c>
      <c r="K383" s="10" t="s">
        <v>836</v>
      </c>
      <c r="L383" s="193"/>
    </row>
    <row r="384" spans="1:54" x14ac:dyDescent="0.2">
      <c r="A384" s="171">
        <v>277</v>
      </c>
      <c r="B384" s="171" t="s">
        <v>118</v>
      </c>
      <c r="C384" s="171" t="s">
        <v>112</v>
      </c>
      <c r="D384" s="216" t="s">
        <v>330</v>
      </c>
      <c r="E384" s="193" t="s">
        <v>679</v>
      </c>
      <c r="F384" s="202">
        <v>18.850000000000001</v>
      </c>
      <c r="G384" s="200">
        <f t="shared" ref="G384:G413" si="81">H384/1000</f>
        <v>2.83</v>
      </c>
      <c r="H384" s="203">
        <v>2830</v>
      </c>
      <c r="I384" s="10" t="s">
        <v>656</v>
      </c>
      <c r="J384" s="10" t="s">
        <v>73</v>
      </c>
      <c r="K384" s="10" t="s">
        <v>836</v>
      </c>
      <c r="L384" s="193"/>
      <c r="AM384" s="197">
        <f>N384*G384-T384</f>
        <v>0</v>
      </c>
    </row>
    <row r="385" spans="1:52" x14ac:dyDescent="0.2">
      <c r="A385" s="171">
        <v>316</v>
      </c>
      <c r="B385" s="171" t="s">
        <v>118</v>
      </c>
      <c r="C385" s="171" t="s">
        <v>113</v>
      </c>
      <c r="D385" s="216" t="s">
        <v>321</v>
      </c>
      <c r="E385" s="193" t="s">
        <v>679</v>
      </c>
      <c r="F385" s="202">
        <v>35.5</v>
      </c>
      <c r="G385" s="200">
        <f t="shared" si="81"/>
        <v>2.83</v>
      </c>
      <c r="H385" s="203">
        <v>2830</v>
      </c>
      <c r="I385" s="10" t="s">
        <v>656</v>
      </c>
      <c r="J385" s="10" t="s">
        <v>73</v>
      </c>
      <c r="K385" s="10" t="s">
        <v>836</v>
      </c>
      <c r="L385" s="212"/>
    </row>
    <row r="386" spans="1:52" x14ac:dyDescent="0.2">
      <c r="A386" s="186">
        <v>386</v>
      </c>
      <c r="B386" s="171" t="s">
        <v>119</v>
      </c>
      <c r="C386" s="171" t="s">
        <v>112</v>
      </c>
      <c r="D386" s="216" t="s">
        <v>331</v>
      </c>
      <c r="E386" s="193" t="s">
        <v>861</v>
      </c>
      <c r="F386" s="194">
        <v>18.850000000000001</v>
      </c>
      <c r="G386" s="200">
        <f t="shared" si="81"/>
        <v>2.83</v>
      </c>
      <c r="H386" s="208">
        <v>2830</v>
      </c>
      <c r="I386" s="10" t="s">
        <v>862</v>
      </c>
      <c r="J386" s="10" t="s">
        <v>73</v>
      </c>
      <c r="K386" s="10" t="s">
        <v>863</v>
      </c>
      <c r="L386" s="193"/>
      <c r="O386" s="216"/>
      <c r="AO386" s="171"/>
    </row>
    <row r="387" spans="1:52" x14ac:dyDescent="0.2">
      <c r="A387" s="186">
        <v>426</v>
      </c>
      <c r="B387" s="171" t="s">
        <v>119</v>
      </c>
      <c r="C387" s="171" t="s">
        <v>113</v>
      </c>
      <c r="D387" s="216" t="s">
        <v>322</v>
      </c>
      <c r="E387" s="193" t="s">
        <v>679</v>
      </c>
      <c r="F387" s="200">
        <v>35.5</v>
      </c>
      <c r="G387" s="200">
        <f t="shared" si="81"/>
        <v>2.83</v>
      </c>
      <c r="H387" s="203">
        <v>2830</v>
      </c>
      <c r="I387" s="10" t="s">
        <v>656</v>
      </c>
      <c r="J387" s="10" t="s">
        <v>73</v>
      </c>
      <c r="K387" s="10" t="s">
        <v>836</v>
      </c>
      <c r="L387" s="193"/>
      <c r="AM387" s="197">
        <f>N387*G387-T387</f>
        <v>0</v>
      </c>
    </row>
    <row r="388" spans="1:52" x14ac:dyDescent="0.2">
      <c r="A388" s="186">
        <v>465</v>
      </c>
      <c r="B388" s="171" t="s">
        <v>119</v>
      </c>
      <c r="C388" s="171" t="s">
        <v>114</v>
      </c>
      <c r="D388" s="216" t="s">
        <v>333</v>
      </c>
      <c r="E388" s="193" t="s">
        <v>679</v>
      </c>
      <c r="F388" s="202">
        <v>18.899999999999999</v>
      </c>
      <c r="G388" s="200">
        <f t="shared" si="81"/>
        <v>2.83</v>
      </c>
      <c r="H388" s="203">
        <v>2830</v>
      </c>
      <c r="I388" s="10" t="s">
        <v>656</v>
      </c>
      <c r="J388" s="10" t="s">
        <v>73</v>
      </c>
      <c r="K388" s="10" t="s">
        <v>836</v>
      </c>
      <c r="L388" s="193"/>
    </row>
    <row r="389" spans="1:52" x14ac:dyDescent="0.2">
      <c r="A389" s="171">
        <v>505</v>
      </c>
      <c r="B389" s="171" t="s">
        <v>120</v>
      </c>
      <c r="C389" s="171" t="s">
        <v>112</v>
      </c>
      <c r="D389" s="216" t="s">
        <v>332</v>
      </c>
      <c r="E389" s="193" t="s">
        <v>679</v>
      </c>
      <c r="F389" s="202">
        <v>18.850000000000001</v>
      </c>
      <c r="G389" s="200">
        <f t="shared" si="81"/>
        <v>2.83</v>
      </c>
      <c r="H389" s="203">
        <v>2830</v>
      </c>
      <c r="I389" s="10" t="s">
        <v>656</v>
      </c>
      <c r="J389" s="10" t="s">
        <v>73</v>
      </c>
      <c r="K389" s="10" t="s">
        <v>836</v>
      </c>
      <c r="L389" s="212"/>
      <c r="AM389" s="197">
        <f>N389*G389-T389</f>
        <v>0</v>
      </c>
      <c r="AN389" s="197">
        <f>O389*G389-U389</f>
        <v>0</v>
      </c>
      <c r="AP389" s="197">
        <f>P389*G389-V389</f>
        <v>0</v>
      </c>
      <c r="AQ389" s="197">
        <f>Q389*G389-W389</f>
        <v>0</v>
      </c>
      <c r="AZ389" s="197">
        <f>R389*G389-X389</f>
        <v>0</v>
      </c>
    </row>
    <row r="390" spans="1:52" x14ac:dyDescent="0.2">
      <c r="A390" s="171">
        <v>544</v>
      </c>
      <c r="B390" s="171" t="s">
        <v>120</v>
      </c>
      <c r="C390" s="171" t="s">
        <v>113</v>
      </c>
      <c r="D390" s="216" t="s">
        <v>323</v>
      </c>
      <c r="E390" s="193" t="s">
        <v>679</v>
      </c>
      <c r="F390" s="202">
        <v>35.5</v>
      </c>
      <c r="G390" s="200">
        <f t="shared" si="81"/>
        <v>2.83</v>
      </c>
      <c r="H390" s="203">
        <v>2830</v>
      </c>
      <c r="I390" s="10" t="s">
        <v>656</v>
      </c>
      <c r="J390" s="10" t="s">
        <v>73</v>
      </c>
      <c r="K390" s="10" t="s">
        <v>836</v>
      </c>
      <c r="L390" s="193"/>
    </row>
    <row r="391" spans="1:52" x14ac:dyDescent="0.2">
      <c r="A391" s="171">
        <v>583</v>
      </c>
      <c r="B391" s="171" t="s">
        <v>120</v>
      </c>
      <c r="C391" s="171" t="s">
        <v>114</v>
      </c>
      <c r="D391" s="216" t="s">
        <v>329</v>
      </c>
      <c r="E391" s="193" t="s">
        <v>679</v>
      </c>
      <c r="F391" s="202">
        <v>18.75</v>
      </c>
      <c r="G391" s="200">
        <f t="shared" si="81"/>
        <v>2.83</v>
      </c>
      <c r="H391" s="203">
        <v>2830</v>
      </c>
      <c r="I391" s="10" t="s">
        <v>656</v>
      </c>
      <c r="J391" s="10" t="s">
        <v>73</v>
      </c>
      <c r="K391" s="10" t="s">
        <v>836</v>
      </c>
      <c r="L391" s="193"/>
      <c r="AP391" s="197">
        <f>N391*2.67-T391</f>
        <v>0</v>
      </c>
      <c r="AQ391" s="197">
        <f>O391*2.4-U391</f>
        <v>0</v>
      </c>
      <c r="AY391" s="197">
        <f>P391*2.67-V391</f>
        <v>0</v>
      </c>
    </row>
    <row r="392" spans="1:52" x14ac:dyDescent="0.2">
      <c r="A392" s="186">
        <v>279</v>
      </c>
      <c r="B392" s="171" t="s">
        <v>118</v>
      </c>
      <c r="C392" s="171" t="s">
        <v>112</v>
      </c>
      <c r="D392" s="216" t="s">
        <v>334</v>
      </c>
      <c r="E392" s="193" t="s">
        <v>679</v>
      </c>
      <c r="F392" s="202">
        <v>38.299999999999997</v>
      </c>
      <c r="G392" s="200">
        <f t="shared" si="81"/>
        <v>2.83</v>
      </c>
      <c r="H392" s="203">
        <v>2830</v>
      </c>
      <c r="I392" s="10" t="s">
        <v>656</v>
      </c>
      <c r="J392" s="10" t="s">
        <v>88</v>
      </c>
      <c r="K392" s="10" t="s">
        <v>836</v>
      </c>
      <c r="L392" s="193"/>
      <c r="O392" s="216"/>
    </row>
    <row r="393" spans="1:52" x14ac:dyDescent="0.2">
      <c r="A393" s="186">
        <v>387</v>
      </c>
      <c r="B393" s="171" t="s">
        <v>119</v>
      </c>
      <c r="C393" s="171" t="s">
        <v>112</v>
      </c>
      <c r="D393" s="216" t="s">
        <v>341</v>
      </c>
      <c r="E393" s="193" t="s">
        <v>861</v>
      </c>
      <c r="F393" s="194">
        <v>53.65</v>
      </c>
      <c r="G393" s="200">
        <f t="shared" si="81"/>
        <v>2.83</v>
      </c>
      <c r="H393" s="208">
        <v>2830</v>
      </c>
      <c r="I393" s="10" t="s">
        <v>862</v>
      </c>
      <c r="J393" s="10" t="s">
        <v>88</v>
      </c>
      <c r="K393" s="10" t="s">
        <v>863</v>
      </c>
      <c r="L393" s="193"/>
      <c r="AL393" s="197">
        <f>N393*H393/1000-T393</f>
        <v>0</v>
      </c>
      <c r="AM393" s="197">
        <f>O393*H393/1000-U393</f>
        <v>0</v>
      </c>
      <c r="AP393" s="197">
        <f>P393*H393/1000-V393</f>
        <v>0</v>
      </c>
    </row>
    <row r="394" spans="1:52" x14ac:dyDescent="0.2">
      <c r="A394" s="171">
        <v>388</v>
      </c>
      <c r="B394" s="171" t="s">
        <v>119</v>
      </c>
      <c r="C394" s="171" t="s">
        <v>112</v>
      </c>
      <c r="D394" s="216" t="s">
        <v>335</v>
      </c>
      <c r="E394" s="193" t="s">
        <v>861</v>
      </c>
      <c r="F394" s="194">
        <v>38.299999999999997</v>
      </c>
      <c r="G394" s="200">
        <f t="shared" si="81"/>
        <v>2.83</v>
      </c>
      <c r="H394" s="208">
        <v>2830</v>
      </c>
      <c r="I394" s="10" t="s">
        <v>862</v>
      </c>
      <c r="J394" s="10" t="s">
        <v>88</v>
      </c>
      <c r="K394" s="10" t="s">
        <v>863</v>
      </c>
      <c r="L394" s="193"/>
      <c r="AM394" s="197">
        <f>N394*G394-T394</f>
        <v>0</v>
      </c>
      <c r="AP394" s="197">
        <f>O394*G394-U394</f>
        <v>0</v>
      </c>
    </row>
    <row r="395" spans="1:52" x14ac:dyDescent="0.2">
      <c r="A395" s="186">
        <v>507</v>
      </c>
      <c r="B395" s="171" t="s">
        <v>120</v>
      </c>
      <c r="C395" s="171" t="s">
        <v>112</v>
      </c>
      <c r="D395" s="216" t="s">
        <v>336</v>
      </c>
      <c r="E395" s="193" t="s">
        <v>679</v>
      </c>
      <c r="F395" s="202">
        <v>38.299999999999997</v>
      </c>
      <c r="G395" s="200">
        <f t="shared" si="81"/>
        <v>2.83</v>
      </c>
      <c r="H395" s="203">
        <v>2830</v>
      </c>
      <c r="I395" s="10" t="s">
        <v>656</v>
      </c>
      <c r="J395" s="10" t="s">
        <v>88</v>
      </c>
      <c r="K395" s="10" t="s">
        <v>836</v>
      </c>
      <c r="L395" s="212"/>
    </row>
    <row r="396" spans="1:52" x14ac:dyDescent="0.2">
      <c r="A396" s="186">
        <v>585</v>
      </c>
      <c r="B396" s="171" t="s">
        <v>120</v>
      </c>
      <c r="C396" s="171" t="s">
        <v>114</v>
      </c>
      <c r="D396" s="216" t="s">
        <v>338</v>
      </c>
      <c r="E396" s="193" t="s">
        <v>679</v>
      </c>
      <c r="F396" s="202">
        <v>38.35</v>
      </c>
      <c r="G396" s="200">
        <f t="shared" si="81"/>
        <v>2.83</v>
      </c>
      <c r="H396" s="203">
        <v>2830</v>
      </c>
      <c r="I396" s="10" t="s">
        <v>656</v>
      </c>
      <c r="J396" s="10" t="s">
        <v>88</v>
      </c>
      <c r="K396" s="10" t="s">
        <v>836</v>
      </c>
      <c r="L396" s="193"/>
    </row>
    <row r="397" spans="1:52" x14ac:dyDescent="0.2">
      <c r="A397" s="186">
        <v>284</v>
      </c>
      <c r="B397" s="171" t="s">
        <v>118</v>
      </c>
      <c r="C397" s="171" t="s">
        <v>112</v>
      </c>
      <c r="D397" s="216" t="s">
        <v>394</v>
      </c>
      <c r="E397" s="193" t="s">
        <v>843</v>
      </c>
      <c r="F397" s="202">
        <v>8.0500000000000007</v>
      </c>
      <c r="G397" s="200">
        <f t="shared" si="81"/>
        <v>2.4</v>
      </c>
      <c r="H397" s="203">
        <v>2400</v>
      </c>
      <c r="I397" s="10" t="s">
        <v>656</v>
      </c>
      <c r="J397" s="10" t="s">
        <v>36</v>
      </c>
      <c r="K397" s="10" t="s">
        <v>756</v>
      </c>
      <c r="L397" s="193"/>
      <c r="AP397" s="197">
        <f>N397*G397-T397</f>
        <v>0</v>
      </c>
    </row>
    <row r="398" spans="1:52" x14ac:dyDescent="0.2">
      <c r="A398" s="186">
        <v>323</v>
      </c>
      <c r="B398" s="171" t="s">
        <v>118</v>
      </c>
      <c r="C398" s="171" t="s">
        <v>113</v>
      </c>
      <c r="D398" s="216" t="s">
        <v>395</v>
      </c>
      <c r="E398" s="193" t="s">
        <v>843</v>
      </c>
      <c r="F398" s="202">
        <v>8.9499999999999993</v>
      </c>
      <c r="G398" s="200">
        <f t="shared" si="81"/>
        <v>2.4</v>
      </c>
      <c r="H398" s="203">
        <v>2400</v>
      </c>
      <c r="I398" s="10" t="s">
        <v>656</v>
      </c>
      <c r="J398" s="10" t="s">
        <v>36</v>
      </c>
      <c r="K398" s="10" t="s">
        <v>756</v>
      </c>
      <c r="L398" s="212"/>
      <c r="AQ398" s="197">
        <f>N398*G398-T398</f>
        <v>0</v>
      </c>
    </row>
    <row r="399" spans="1:52" x14ac:dyDescent="0.2">
      <c r="A399" s="186">
        <v>393</v>
      </c>
      <c r="B399" s="171" t="s">
        <v>119</v>
      </c>
      <c r="C399" s="171" t="s">
        <v>112</v>
      </c>
      <c r="D399" s="216" t="s">
        <v>392</v>
      </c>
      <c r="E399" s="193" t="s">
        <v>871</v>
      </c>
      <c r="F399" s="194">
        <v>8.0500000000000007</v>
      </c>
      <c r="G399" s="200">
        <f t="shared" si="81"/>
        <v>2.4</v>
      </c>
      <c r="H399" s="208">
        <v>2400</v>
      </c>
      <c r="I399" s="10" t="s">
        <v>862</v>
      </c>
      <c r="J399" s="10" t="s">
        <v>36</v>
      </c>
      <c r="K399" s="10" t="s">
        <v>738</v>
      </c>
      <c r="L399" s="193"/>
      <c r="AM399" s="197">
        <f>N399*G399-T399</f>
        <v>0</v>
      </c>
      <c r="AP399" s="197">
        <f>O399*G399-U399</f>
        <v>0</v>
      </c>
    </row>
    <row r="400" spans="1:52" x14ac:dyDescent="0.2">
      <c r="A400" s="171">
        <v>433</v>
      </c>
      <c r="B400" s="171" t="s">
        <v>119</v>
      </c>
      <c r="C400" s="171" t="s">
        <v>113</v>
      </c>
      <c r="D400" s="216" t="s">
        <v>393</v>
      </c>
      <c r="E400" s="193" t="s">
        <v>887</v>
      </c>
      <c r="F400" s="200">
        <v>8.8000000000000007</v>
      </c>
      <c r="G400" s="200">
        <f t="shared" si="81"/>
        <v>2.4</v>
      </c>
      <c r="H400" s="203">
        <v>2400</v>
      </c>
      <c r="I400" s="10" t="s">
        <v>656</v>
      </c>
      <c r="J400" s="10" t="s">
        <v>36</v>
      </c>
      <c r="K400" s="10" t="s">
        <v>759</v>
      </c>
      <c r="L400" s="193"/>
    </row>
    <row r="401" spans="1:54" x14ac:dyDescent="0.2">
      <c r="A401" s="186">
        <v>512</v>
      </c>
      <c r="B401" s="171" t="s">
        <v>120</v>
      </c>
      <c r="C401" s="171" t="s">
        <v>112</v>
      </c>
      <c r="D401" s="216" t="s">
        <v>397</v>
      </c>
      <c r="E401" s="193" t="s">
        <v>843</v>
      </c>
      <c r="F401" s="202">
        <v>8.15</v>
      </c>
      <c r="G401" s="200">
        <f t="shared" si="81"/>
        <v>2.4</v>
      </c>
      <c r="H401" s="203">
        <v>2400</v>
      </c>
      <c r="I401" s="10" t="s">
        <v>656</v>
      </c>
      <c r="J401" s="10" t="s">
        <v>36</v>
      </c>
      <c r="K401" s="10" t="s">
        <v>756</v>
      </c>
      <c r="L401" s="212"/>
      <c r="AP401" s="197">
        <f>N401*G401-T401</f>
        <v>0</v>
      </c>
      <c r="AQ401" s="197">
        <f>O401*G401-U401</f>
        <v>0</v>
      </c>
    </row>
    <row r="402" spans="1:54" x14ac:dyDescent="0.2">
      <c r="A402" s="186">
        <v>551</v>
      </c>
      <c r="B402" s="171" t="s">
        <v>120</v>
      </c>
      <c r="C402" s="171" t="s">
        <v>113</v>
      </c>
      <c r="D402" s="216" t="s">
        <v>328</v>
      </c>
      <c r="E402" s="193" t="s">
        <v>843</v>
      </c>
      <c r="F402" s="202">
        <v>8.8000000000000007</v>
      </c>
      <c r="G402" s="200">
        <f t="shared" si="81"/>
        <v>2.4</v>
      </c>
      <c r="H402" s="203">
        <v>2400</v>
      </c>
      <c r="I402" s="10" t="s">
        <v>656</v>
      </c>
      <c r="J402" s="10" t="s">
        <v>36</v>
      </c>
      <c r="K402" s="10" t="s">
        <v>763</v>
      </c>
      <c r="L402" s="193"/>
      <c r="AP402" s="197">
        <f>N402*2.67-T402</f>
        <v>0</v>
      </c>
      <c r="AQ402" s="197">
        <f>O402*2.4-U402</f>
        <v>0</v>
      </c>
    </row>
    <row r="403" spans="1:54" x14ac:dyDescent="0.2">
      <c r="A403" s="186">
        <v>285</v>
      </c>
      <c r="B403" s="171" t="s">
        <v>118</v>
      </c>
      <c r="C403" s="171" t="s">
        <v>112</v>
      </c>
      <c r="D403" s="216" t="s">
        <v>410</v>
      </c>
      <c r="E403" s="193" t="s">
        <v>845</v>
      </c>
      <c r="F403" s="202">
        <v>17.399999999999999</v>
      </c>
      <c r="G403" s="200">
        <f t="shared" si="81"/>
        <v>2.4</v>
      </c>
      <c r="H403" s="203">
        <v>2400</v>
      </c>
      <c r="I403" s="10" t="s">
        <v>656</v>
      </c>
      <c r="J403" s="10" t="s">
        <v>90</v>
      </c>
      <c r="K403" s="10" t="s">
        <v>763</v>
      </c>
      <c r="L403" s="193"/>
      <c r="AM403" s="197">
        <f>N403*G403-T403</f>
        <v>0</v>
      </c>
      <c r="AP403" s="197">
        <f>O403*G403-U403</f>
        <v>0</v>
      </c>
    </row>
    <row r="404" spans="1:54" s="197" customFormat="1" x14ac:dyDescent="0.2">
      <c r="A404" s="186">
        <v>324</v>
      </c>
      <c r="B404" s="171" t="s">
        <v>118</v>
      </c>
      <c r="C404" s="171" t="s">
        <v>113</v>
      </c>
      <c r="D404" s="216" t="s">
        <v>411</v>
      </c>
      <c r="E404" s="193" t="s">
        <v>845</v>
      </c>
      <c r="F404" s="202">
        <v>19.149999999999999</v>
      </c>
      <c r="G404" s="200">
        <f t="shared" si="81"/>
        <v>2.4</v>
      </c>
      <c r="H404" s="203">
        <v>2400</v>
      </c>
      <c r="I404" s="10" t="s">
        <v>656</v>
      </c>
      <c r="J404" s="10" t="s">
        <v>90</v>
      </c>
      <c r="K404" s="10" t="s">
        <v>763</v>
      </c>
      <c r="L404" s="212"/>
      <c r="M404" s="196"/>
      <c r="N404" s="196"/>
      <c r="O404" s="196"/>
      <c r="P404" s="196"/>
      <c r="Q404" s="196"/>
      <c r="R404" s="196"/>
      <c r="S404" s="196"/>
      <c r="T404" s="196"/>
      <c r="U404" s="196"/>
      <c r="V404" s="196"/>
      <c r="W404" s="196"/>
      <c r="X404" s="196"/>
      <c r="Y404" s="171"/>
      <c r="AM404" s="197">
        <f>N404*G404-T404</f>
        <v>0</v>
      </c>
      <c r="AT404" s="197">
        <f>O404*G404-U404</f>
        <v>0</v>
      </c>
      <c r="BA404" s="171"/>
      <c r="BB404" s="171"/>
    </row>
    <row r="405" spans="1:54" s="197" customFormat="1" x14ac:dyDescent="0.2">
      <c r="A405" s="171">
        <v>394</v>
      </c>
      <c r="B405" s="171" t="s">
        <v>119</v>
      </c>
      <c r="C405" s="171" t="s">
        <v>112</v>
      </c>
      <c r="D405" s="216" t="s">
        <v>413</v>
      </c>
      <c r="E405" s="193" t="s">
        <v>873</v>
      </c>
      <c r="F405" s="194">
        <v>17.399999999999999</v>
      </c>
      <c r="G405" s="200">
        <f t="shared" si="81"/>
        <v>2.4</v>
      </c>
      <c r="H405" s="208">
        <v>2400</v>
      </c>
      <c r="I405" s="10" t="s">
        <v>862</v>
      </c>
      <c r="J405" s="10" t="s">
        <v>90</v>
      </c>
      <c r="K405" s="10" t="s">
        <v>738</v>
      </c>
      <c r="L405" s="193"/>
      <c r="M405" s="196"/>
      <c r="N405" s="196"/>
      <c r="O405" s="196"/>
      <c r="P405" s="196"/>
      <c r="Q405" s="196"/>
      <c r="R405" s="196"/>
      <c r="S405" s="196"/>
      <c r="T405" s="196"/>
      <c r="U405" s="196"/>
      <c r="V405" s="196"/>
      <c r="W405" s="196"/>
      <c r="X405" s="196"/>
      <c r="Y405" s="171"/>
      <c r="AM405" s="197">
        <f>N405*G405-T405</f>
        <v>0</v>
      </c>
      <c r="AP405" s="197">
        <f>O405*G405-U405</f>
        <v>0</v>
      </c>
      <c r="BA405" s="171"/>
      <c r="BB405" s="171"/>
    </row>
    <row r="406" spans="1:54" s="197" customFormat="1" x14ac:dyDescent="0.2">
      <c r="A406" s="186">
        <v>434</v>
      </c>
      <c r="B406" s="171" t="s">
        <v>119</v>
      </c>
      <c r="C406" s="171" t="s">
        <v>113</v>
      </c>
      <c r="D406" s="216" t="s">
        <v>414</v>
      </c>
      <c r="E406" s="193" t="s">
        <v>845</v>
      </c>
      <c r="F406" s="200">
        <v>19.149999999999999</v>
      </c>
      <c r="G406" s="200">
        <f t="shared" si="81"/>
        <v>2.4</v>
      </c>
      <c r="H406" s="203">
        <v>2400</v>
      </c>
      <c r="I406" s="10" t="s">
        <v>656</v>
      </c>
      <c r="J406" s="10" t="s">
        <v>90</v>
      </c>
      <c r="K406" s="10" t="s">
        <v>756</v>
      </c>
      <c r="L406" s="193"/>
      <c r="M406" s="196"/>
      <c r="N406" s="196"/>
      <c r="O406" s="196"/>
      <c r="P406" s="196"/>
      <c r="Q406" s="196"/>
      <c r="R406" s="196"/>
      <c r="S406" s="196"/>
      <c r="T406" s="196"/>
      <c r="U406" s="196"/>
      <c r="V406" s="196"/>
      <c r="W406" s="196"/>
      <c r="X406" s="196"/>
      <c r="Y406" s="171"/>
      <c r="AM406" s="197">
        <f>N406*G406-T406</f>
        <v>0</v>
      </c>
      <c r="AN406" s="197">
        <f>O406*G406-U406</f>
        <v>0</v>
      </c>
      <c r="AO406" s="197">
        <f>P406*G406-V406</f>
        <v>0</v>
      </c>
      <c r="AZ406" s="197">
        <f>Q406*G406-W406</f>
        <v>0</v>
      </c>
      <c r="BA406" s="171"/>
      <c r="BB406" s="171"/>
    </row>
    <row r="407" spans="1:54" s="197" customFormat="1" x14ac:dyDescent="0.2">
      <c r="A407" s="186">
        <v>513</v>
      </c>
      <c r="B407" s="171" t="s">
        <v>120</v>
      </c>
      <c r="C407" s="171" t="s">
        <v>112</v>
      </c>
      <c r="D407" s="216" t="s">
        <v>416</v>
      </c>
      <c r="E407" s="193" t="s">
        <v>845</v>
      </c>
      <c r="F407" s="202">
        <v>17.399999999999999</v>
      </c>
      <c r="G407" s="200">
        <f t="shared" si="81"/>
        <v>2.4</v>
      </c>
      <c r="H407" s="203">
        <v>2400</v>
      </c>
      <c r="I407" s="10" t="s">
        <v>656</v>
      </c>
      <c r="J407" s="10" t="s">
        <v>90</v>
      </c>
      <c r="K407" s="10" t="s">
        <v>763</v>
      </c>
      <c r="L407" s="212"/>
      <c r="M407" s="196"/>
      <c r="N407" s="196"/>
      <c r="O407" s="196"/>
      <c r="P407" s="196"/>
      <c r="Q407" s="196"/>
      <c r="R407" s="196"/>
      <c r="S407" s="196"/>
      <c r="T407" s="196"/>
      <c r="U407" s="196"/>
      <c r="V407" s="196"/>
      <c r="W407" s="196"/>
      <c r="X407" s="196"/>
      <c r="Y407" s="171"/>
      <c r="AP407" s="197">
        <f>N407*G407-T407</f>
        <v>0</v>
      </c>
      <c r="AQ407" s="197">
        <f>O407*G407-U407</f>
        <v>0</v>
      </c>
      <c r="BA407" s="171"/>
      <c r="BB407" s="171"/>
    </row>
    <row r="408" spans="1:54" s="197" customFormat="1" x14ac:dyDescent="0.2">
      <c r="A408" s="186">
        <v>552</v>
      </c>
      <c r="B408" s="171" t="s">
        <v>120</v>
      </c>
      <c r="C408" s="171" t="s">
        <v>113</v>
      </c>
      <c r="D408" s="216" t="s">
        <v>479</v>
      </c>
      <c r="E408" s="193" t="s">
        <v>845</v>
      </c>
      <c r="F408" s="202">
        <v>19.149999999999999</v>
      </c>
      <c r="G408" s="200">
        <f t="shared" si="81"/>
        <v>2.4</v>
      </c>
      <c r="H408" s="203">
        <v>2400</v>
      </c>
      <c r="I408" s="10" t="s">
        <v>656</v>
      </c>
      <c r="J408" s="10" t="s">
        <v>90</v>
      </c>
      <c r="K408" s="10" t="s">
        <v>756</v>
      </c>
      <c r="L408" s="193"/>
      <c r="M408" s="196"/>
      <c r="N408" s="196"/>
      <c r="O408" s="196"/>
      <c r="P408" s="196"/>
      <c r="Q408" s="196"/>
      <c r="R408" s="196"/>
      <c r="S408" s="196"/>
      <c r="T408" s="196"/>
      <c r="U408" s="196"/>
      <c r="V408" s="196"/>
      <c r="W408" s="196"/>
      <c r="X408" s="196"/>
      <c r="Y408" s="171"/>
      <c r="AP408" s="197">
        <f>N408*2.67-T408</f>
        <v>0</v>
      </c>
      <c r="AQ408" s="197">
        <f>O408*2.4-U408</f>
        <v>0</v>
      </c>
      <c r="AY408" s="197">
        <f>P408*2.67-V408</f>
        <v>0</v>
      </c>
      <c r="BA408" s="171"/>
      <c r="BB408" s="171"/>
    </row>
    <row r="409" spans="1:54" s="197" customFormat="1" x14ac:dyDescent="0.2">
      <c r="A409" s="186">
        <v>317</v>
      </c>
      <c r="B409" s="171" t="s">
        <v>118</v>
      </c>
      <c r="C409" s="171" t="s">
        <v>113</v>
      </c>
      <c r="D409" s="216" t="s">
        <v>318</v>
      </c>
      <c r="E409" s="193" t="s">
        <v>679</v>
      </c>
      <c r="F409" s="202">
        <v>18.5</v>
      </c>
      <c r="G409" s="200">
        <f t="shared" si="81"/>
        <v>2.83</v>
      </c>
      <c r="H409" s="203">
        <v>2830</v>
      </c>
      <c r="I409" s="10" t="s">
        <v>656</v>
      </c>
      <c r="J409" s="10" t="s">
        <v>95</v>
      </c>
      <c r="K409" s="10" t="s">
        <v>836</v>
      </c>
      <c r="L409" s="212"/>
      <c r="M409" s="196"/>
      <c r="N409" s="196"/>
      <c r="O409" s="196"/>
      <c r="P409" s="196"/>
      <c r="Q409" s="196"/>
      <c r="R409" s="196"/>
      <c r="S409" s="196"/>
      <c r="T409" s="196"/>
      <c r="U409" s="196"/>
      <c r="V409" s="196"/>
      <c r="W409" s="196"/>
      <c r="X409" s="196"/>
      <c r="Y409" s="171"/>
      <c r="AP409" s="197">
        <f>N409*G409-T409</f>
        <v>0</v>
      </c>
      <c r="BA409" s="171"/>
      <c r="BB409" s="196"/>
    </row>
    <row r="410" spans="1:54" s="197" customFormat="1" x14ac:dyDescent="0.2">
      <c r="A410" s="171">
        <v>427</v>
      </c>
      <c r="B410" s="171" t="s">
        <v>119</v>
      </c>
      <c r="C410" s="171" t="s">
        <v>113</v>
      </c>
      <c r="D410" s="216" t="s">
        <v>319</v>
      </c>
      <c r="E410" s="193" t="s">
        <v>679</v>
      </c>
      <c r="F410" s="200">
        <v>18.5</v>
      </c>
      <c r="G410" s="200">
        <f t="shared" si="81"/>
        <v>2.83</v>
      </c>
      <c r="H410" s="203">
        <v>2830</v>
      </c>
      <c r="I410" s="10" t="s">
        <v>656</v>
      </c>
      <c r="J410" s="10" t="s">
        <v>95</v>
      </c>
      <c r="K410" s="10" t="s">
        <v>836</v>
      </c>
      <c r="L410" s="193"/>
      <c r="M410" s="196"/>
      <c r="N410" s="196"/>
      <c r="O410" s="196"/>
      <c r="P410" s="196"/>
      <c r="Q410" s="196"/>
      <c r="R410" s="196"/>
      <c r="S410" s="196"/>
      <c r="T410" s="196"/>
      <c r="U410" s="196"/>
      <c r="V410" s="196"/>
      <c r="W410" s="196"/>
      <c r="X410" s="196"/>
      <c r="Y410" s="171"/>
      <c r="AM410" s="197">
        <f>N410*G410-T410</f>
        <v>0</v>
      </c>
      <c r="BA410" s="171"/>
      <c r="BB410" s="196"/>
    </row>
    <row r="411" spans="1:54" s="197" customFormat="1" x14ac:dyDescent="0.2">
      <c r="A411" s="186">
        <v>545</v>
      </c>
      <c r="B411" s="171" t="s">
        <v>120</v>
      </c>
      <c r="C411" s="171" t="s">
        <v>113</v>
      </c>
      <c r="D411" s="216" t="s">
        <v>320</v>
      </c>
      <c r="E411" s="193" t="s">
        <v>679</v>
      </c>
      <c r="F411" s="202">
        <v>18.5</v>
      </c>
      <c r="G411" s="200">
        <f t="shared" si="81"/>
        <v>2.83</v>
      </c>
      <c r="H411" s="203">
        <v>2830</v>
      </c>
      <c r="I411" s="10" t="s">
        <v>656</v>
      </c>
      <c r="J411" s="10" t="s">
        <v>95</v>
      </c>
      <c r="K411" s="10" t="s">
        <v>836</v>
      </c>
      <c r="L411" s="193"/>
      <c r="M411" s="196"/>
      <c r="N411" s="196"/>
      <c r="O411" s="196"/>
      <c r="P411" s="196"/>
      <c r="Q411" s="196"/>
      <c r="R411" s="196"/>
      <c r="S411" s="196"/>
      <c r="T411" s="196"/>
      <c r="U411" s="196"/>
      <c r="V411" s="196"/>
      <c r="W411" s="196"/>
      <c r="X411" s="196"/>
      <c r="Y411" s="171"/>
      <c r="AP411" s="197">
        <f>N411*2.67-T411</f>
        <v>0</v>
      </c>
      <c r="AQ411" s="197">
        <f>O411*2.4-U411</f>
        <v>0</v>
      </c>
      <c r="BA411" s="171"/>
      <c r="BB411" s="196"/>
    </row>
    <row r="412" spans="1:54" s="197" customFormat="1" x14ac:dyDescent="0.2">
      <c r="A412" s="186">
        <v>278</v>
      </c>
      <c r="B412" s="171" t="s">
        <v>118</v>
      </c>
      <c r="C412" s="171" t="s">
        <v>112</v>
      </c>
      <c r="D412" s="216" t="s">
        <v>339</v>
      </c>
      <c r="E412" s="193" t="s">
        <v>679</v>
      </c>
      <c r="F412" s="202">
        <v>53.5</v>
      </c>
      <c r="G412" s="200">
        <f t="shared" si="81"/>
        <v>2.83</v>
      </c>
      <c r="H412" s="203">
        <v>2830</v>
      </c>
      <c r="I412" s="10" t="s">
        <v>656</v>
      </c>
      <c r="J412" s="10" t="s">
        <v>87</v>
      </c>
      <c r="K412" s="10" t="s">
        <v>836</v>
      </c>
      <c r="L412" s="193"/>
      <c r="M412" s="196"/>
      <c r="N412" s="196"/>
      <c r="O412" s="196"/>
      <c r="P412" s="196"/>
      <c r="Q412" s="196"/>
      <c r="R412" s="196"/>
      <c r="S412" s="196"/>
      <c r="T412" s="196"/>
      <c r="U412" s="196"/>
      <c r="V412" s="196"/>
      <c r="W412" s="196"/>
      <c r="X412" s="196"/>
      <c r="Y412" s="171"/>
      <c r="BA412" s="171"/>
      <c r="BB412" s="196"/>
    </row>
    <row r="413" spans="1:54" s="197" customFormat="1" x14ac:dyDescent="0.2">
      <c r="A413" s="186">
        <v>506</v>
      </c>
      <c r="B413" s="171" t="s">
        <v>120</v>
      </c>
      <c r="C413" s="171" t="s">
        <v>112</v>
      </c>
      <c r="D413" s="216" t="s">
        <v>342</v>
      </c>
      <c r="E413" s="193" t="s">
        <v>679</v>
      </c>
      <c r="F413" s="202">
        <v>54.2</v>
      </c>
      <c r="G413" s="200">
        <f t="shared" si="81"/>
        <v>2.83</v>
      </c>
      <c r="H413" s="203">
        <v>2830</v>
      </c>
      <c r="I413" s="10" t="s">
        <v>656</v>
      </c>
      <c r="J413" s="10" t="s">
        <v>87</v>
      </c>
      <c r="K413" s="10" t="s">
        <v>836</v>
      </c>
      <c r="L413" s="212"/>
      <c r="M413" s="196"/>
      <c r="N413" s="196"/>
      <c r="O413" s="196"/>
      <c r="P413" s="196"/>
      <c r="Q413" s="196"/>
      <c r="R413" s="196"/>
      <c r="S413" s="196"/>
      <c r="T413" s="196"/>
      <c r="U413" s="196"/>
      <c r="V413" s="196"/>
      <c r="W413" s="196"/>
      <c r="X413" s="196"/>
      <c r="Y413" s="171"/>
      <c r="BA413" s="171"/>
      <c r="BB413" s="171"/>
    </row>
    <row r="414" spans="1:54" s="197" customFormat="1" x14ac:dyDescent="0.2">
      <c r="A414" s="186">
        <v>356</v>
      </c>
      <c r="B414" s="171" t="s">
        <v>118</v>
      </c>
      <c r="C414" s="171" t="s">
        <v>114</v>
      </c>
      <c r="D414" s="216" t="s">
        <v>233</v>
      </c>
      <c r="E414" s="193" t="s">
        <v>861</v>
      </c>
      <c r="F414" s="194">
        <v>38.15</v>
      </c>
      <c r="G414" s="194"/>
      <c r="H414" s="208">
        <v>2830</v>
      </c>
      <c r="I414" s="210" t="s">
        <v>238</v>
      </c>
      <c r="J414" s="10" t="s">
        <v>81</v>
      </c>
      <c r="K414" s="10" t="s">
        <v>863</v>
      </c>
      <c r="L414" s="193"/>
      <c r="M414" s="196"/>
      <c r="N414" s="196"/>
      <c r="O414" s="196"/>
      <c r="P414" s="196"/>
      <c r="Q414" s="196"/>
      <c r="R414" s="196"/>
      <c r="S414" s="196"/>
      <c r="T414" s="196"/>
      <c r="U414" s="196"/>
      <c r="V414" s="196"/>
      <c r="W414" s="196"/>
      <c r="X414" s="196"/>
      <c r="Y414" s="171"/>
      <c r="AL414" s="197">
        <f>N414*G414-T414</f>
        <v>0</v>
      </c>
      <c r="AN414" s="197">
        <f>O414*G414-U414</f>
        <v>0</v>
      </c>
      <c r="AO414" s="197">
        <f>P414*G414-V414</f>
        <v>0</v>
      </c>
      <c r="AZ414" s="197">
        <f>Q414*G414-W414</f>
        <v>0</v>
      </c>
      <c r="BA414" s="171"/>
      <c r="BB414" s="171"/>
    </row>
    <row r="415" spans="1:54" s="197" customFormat="1" x14ac:dyDescent="0.2">
      <c r="A415" s="171">
        <v>355</v>
      </c>
      <c r="B415" s="171" t="s">
        <v>118</v>
      </c>
      <c r="C415" s="171" t="s">
        <v>114</v>
      </c>
      <c r="D415" s="216" t="s">
        <v>232</v>
      </c>
      <c r="E415" s="193" t="s">
        <v>861</v>
      </c>
      <c r="F415" s="194">
        <v>18.75</v>
      </c>
      <c r="G415" s="200">
        <f t="shared" ref="G415:G446" si="82">H415/1000</f>
        <v>2.83</v>
      </c>
      <c r="H415" s="208">
        <v>2830</v>
      </c>
      <c r="I415" s="210" t="s">
        <v>238</v>
      </c>
      <c r="J415" s="10" t="s">
        <v>73</v>
      </c>
      <c r="K415" s="10" t="s">
        <v>863</v>
      </c>
      <c r="L415" s="193"/>
      <c r="M415" s="196"/>
      <c r="N415" s="196"/>
      <c r="O415" s="196"/>
      <c r="P415" s="196"/>
      <c r="Q415" s="196"/>
      <c r="R415" s="196"/>
      <c r="S415" s="196"/>
      <c r="T415" s="196"/>
      <c r="U415" s="196"/>
      <c r="V415" s="196"/>
      <c r="W415" s="196"/>
      <c r="X415" s="196"/>
      <c r="Y415" s="171"/>
      <c r="BA415" s="171"/>
      <c r="BB415" s="171"/>
    </row>
    <row r="416" spans="1:54" s="197" customFormat="1" x14ac:dyDescent="0.2">
      <c r="A416" s="186">
        <v>26</v>
      </c>
      <c r="B416" s="171" t="s">
        <v>111</v>
      </c>
      <c r="C416" s="171" t="s">
        <v>112</v>
      </c>
      <c r="D416" s="10" t="s">
        <v>934</v>
      </c>
      <c r="E416" s="193" t="s">
        <v>935</v>
      </c>
      <c r="F416" s="202">
        <v>4.8</v>
      </c>
      <c r="G416" s="200">
        <f t="shared" si="82"/>
        <v>2.2999999999999998</v>
      </c>
      <c r="H416" s="203">
        <v>2300</v>
      </c>
      <c r="I416" s="10" t="s">
        <v>604</v>
      </c>
      <c r="J416" s="10" t="s">
        <v>10</v>
      </c>
      <c r="K416" s="10" t="s">
        <v>767</v>
      </c>
      <c r="L416" s="193"/>
      <c r="M416" s="196">
        <v>10.65</v>
      </c>
      <c r="N416" s="196"/>
      <c r="O416" s="196"/>
      <c r="P416" s="196"/>
      <c r="Q416" s="196"/>
      <c r="R416" s="196"/>
      <c r="S416" s="196"/>
      <c r="T416" s="196"/>
      <c r="U416" s="196"/>
      <c r="V416" s="196"/>
      <c r="W416" s="196"/>
      <c r="X416" s="196"/>
      <c r="Y416" s="171"/>
      <c r="AP416" s="197">
        <f>N416*G416-T416</f>
        <v>0</v>
      </c>
      <c r="AQ416" s="197">
        <f>O416*G416-U416</f>
        <v>0</v>
      </c>
      <c r="AS416" s="197">
        <f>P416*G416-V416</f>
        <v>0</v>
      </c>
      <c r="AT416" s="197">
        <f>Q416*G416-W416</f>
        <v>0</v>
      </c>
      <c r="BA416" s="171"/>
      <c r="BB416" s="171"/>
    </row>
    <row r="417" spans="1:54" s="197" customFormat="1" x14ac:dyDescent="0.2">
      <c r="A417" s="186">
        <v>27</v>
      </c>
      <c r="B417" s="171" t="s">
        <v>111</v>
      </c>
      <c r="C417" s="171" t="s">
        <v>112</v>
      </c>
      <c r="D417" s="10" t="s">
        <v>936</v>
      </c>
      <c r="E417" s="193" t="s">
        <v>937</v>
      </c>
      <c r="F417" s="202">
        <v>1.8</v>
      </c>
      <c r="G417" s="200">
        <f t="shared" si="82"/>
        <v>2.2999999999999998</v>
      </c>
      <c r="H417" s="203">
        <v>2300</v>
      </c>
      <c r="I417" s="10" t="s">
        <v>604</v>
      </c>
      <c r="J417" s="10" t="s">
        <v>10</v>
      </c>
      <c r="K417" s="10" t="s">
        <v>763</v>
      </c>
      <c r="L417" s="193"/>
      <c r="M417" s="196">
        <f>5.4-1.6</f>
        <v>3.8000000000000003</v>
      </c>
      <c r="N417" s="196">
        <v>1.1499999999999999</v>
      </c>
      <c r="O417" s="196">
        <f t="shared" ref="O417:O428" si="83">M417-N417</f>
        <v>2.6500000000000004</v>
      </c>
      <c r="P417" s="196"/>
      <c r="Q417" s="196"/>
      <c r="R417" s="196"/>
      <c r="S417" s="196"/>
      <c r="T417" s="196"/>
      <c r="U417" s="196">
        <f>0.75*2.1</f>
        <v>1.5750000000000002</v>
      </c>
      <c r="V417" s="196"/>
      <c r="W417" s="196"/>
      <c r="X417" s="196"/>
      <c r="Y417" s="171"/>
      <c r="AP417" s="197">
        <f>N417*G417-T417</f>
        <v>2.6449999999999996</v>
      </c>
      <c r="AQ417" s="197">
        <f>O417*G417-U417</f>
        <v>4.5200000000000005</v>
      </c>
      <c r="BA417" s="171"/>
      <c r="BB417" s="171"/>
    </row>
    <row r="418" spans="1:54" s="197" customFormat="1" x14ac:dyDescent="0.2">
      <c r="A418" s="171">
        <v>28</v>
      </c>
      <c r="B418" s="171" t="s">
        <v>111</v>
      </c>
      <c r="C418" s="171" t="s">
        <v>112</v>
      </c>
      <c r="D418" s="10" t="s">
        <v>938</v>
      </c>
      <c r="E418" s="193" t="s">
        <v>939</v>
      </c>
      <c r="F418" s="202">
        <v>1.5</v>
      </c>
      <c r="G418" s="200">
        <f t="shared" si="82"/>
        <v>2.2999999999999998</v>
      </c>
      <c r="H418" s="203">
        <v>2300</v>
      </c>
      <c r="I418" s="10" t="s">
        <v>604</v>
      </c>
      <c r="J418" s="10" t="s">
        <v>10</v>
      </c>
      <c r="K418" s="10" t="s">
        <v>756</v>
      </c>
      <c r="L418" s="193"/>
      <c r="M418" s="196">
        <f>5-1.6</f>
        <v>3.4</v>
      </c>
      <c r="N418" s="196">
        <v>0.9</v>
      </c>
      <c r="O418" s="196">
        <f t="shared" si="83"/>
        <v>2.5</v>
      </c>
      <c r="P418" s="196"/>
      <c r="Q418" s="196"/>
      <c r="R418" s="196"/>
      <c r="S418" s="196"/>
      <c r="T418" s="196"/>
      <c r="U418" s="196"/>
      <c r="V418" s="196"/>
      <c r="W418" s="196"/>
      <c r="X418" s="196"/>
      <c r="Y418" s="171"/>
      <c r="AP418" s="197">
        <f>N418*G418-T418</f>
        <v>2.0699999999999998</v>
      </c>
      <c r="AQ418" s="197">
        <f>O418*G418-U418</f>
        <v>5.75</v>
      </c>
      <c r="BA418" s="171"/>
      <c r="BB418" s="171"/>
    </row>
    <row r="419" spans="1:54" s="197" customFormat="1" x14ac:dyDescent="0.2">
      <c r="A419" s="186">
        <v>30</v>
      </c>
      <c r="B419" s="171" t="s">
        <v>111</v>
      </c>
      <c r="C419" s="171" t="s">
        <v>112</v>
      </c>
      <c r="D419" s="10" t="s">
        <v>942</v>
      </c>
      <c r="E419" s="193" t="s">
        <v>943</v>
      </c>
      <c r="F419" s="202">
        <v>3.5</v>
      </c>
      <c r="G419" s="200">
        <f t="shared" si="82"/>
        <v>2.2999999999999998</v>
      </c>
      <c r="H419" s="203">
        <v>2300</v>
      </c>
      <c r="I419" s="10" t="s">
        <v>604</v>
      </c>
      <c r="J419" s="10" t="s">
        <v>10</v>
      </c>
      <c r="K419" s="10" t="s">
        <v>767</v>
      </c>
      <c r="L419" s="193"/>
      <c r="M419" s="196">
        <f>9.65-1.75</f>
        <v>7.9</v>
      </c>
      <c r="N419" s="196">
        <v>2</v>
      </c>
      <c r="O419" s="196">
        <f t="shared" si="83"/>
        <v>5.9</v>
      </c>
      <c r="P419" s="196"/>
      <c r="Q419" s="196"/>
      <c r="R419" s="196"/>
      <c r="S419" s="196"/>
      <c r="T419" s="196"/>
      <c r="U419" s="196"/>
      <c r="V419" s="196"/>
      <c r="W419" s="196"/>
      <c r="X419" s="196"/>
      <c r="Y419" s="171"/>
      <c r="BA419" s="171"/>
      <c r="BB419" s="171"/>
    </row>
    <row r="420" spans="1:54" x14ac:dyDescent="0.2">
      <c r="A420" s="171">
        <v>31</v>
      </c>
      <c r="B420" s="171" t="s">
        <v>111</v>
      </c>
      <c r="C420" s="171" t="s">
        <v>112</v>
      </c>
      <c r="D420" s="10" t="s">
        <v>944</v>
      </c>
      <c r="E420" s="193" t="s">
        <v>945</v>
      </c>
      <c r="F420" s="202">
        <v>3</v>
      </c>
      <c r="G420" s="200">
        <f t="shared" si="82"/>
        <v>2.2999999999999998</v>
      </c>
      <c r="H420" s="203">
        <v>2300</v>
      </c>
      <c r="I420" s="10" t="s">
        <v>604</v>
      </c>
      <c r="J420" s="10" t="s">
        <v>10</v>
      </c>
      <c r="K420" s="10" t="s">
        <v>763</v>
      </c>
      <c r="L420" s="193"/>
      <c r="M420" s="196">
        <f>8.1-1.65</f>
        <v>6.4499999999999993</v>
      </c>
      <c r="N420" s="196">
        <f>1.65</f>
        <v>1.65</v>
      </c>
      <c r="O420" s="196">
        <f t="shared" si="83"/>
        <v>4.7999999999999989</v>
      </c>
      <c r="U420" s="196">
        <f>0.75*2.1</f>
        <v>1.5750000000000002</v>
      </c>
    </row>
    <row r="421" spans="1:54" x14ac:dyDescent="0.2">
      <c r="A421" s="186">
        <v>66</v>
      </c>
      <c r="B421" s="171" t="s">
        <v>111</v>
      </c>
      <c r="C421" s="171" t="s">
        <v>113</v>
      </c>
      <c r="D421" s="10" t="s">
        <v>950</v>
      </c>
      <c r="E421" s="193" t="s">
        <v>943</v>
      </c>
      <c r="F421" s="202">
        <v>2.6</v>
      </c>
      <c r="G421" s="200">
        <f t="shared" si="82"/>
        <v>2.4</v>
      </c>
      <c r="H421" s="203">
        <v>2400</v>
      </c>
      <c r="I421" s="10" t="s">
        <v>604</v>
      </c>
      <c r="J421" s="10" t="s">
        <v>10</v>
      </c>
      <c r="K421" s="10" t="s">
        <v>767</v>
      </c>
      <c r="L421" s="193"/>
      <c r="M421" s="196">
        <f>8.6-1.725</f>
        <v>6.875</v>
      </c>
      <c r="N421" s="196">
        <v>1.5</v>
      </c>
      <c r="O421" s="196">
        <f t="shared" si="83"/>
        <v>5.375</v>
      </c>
      <c r="AP421" s="197">
        <f>N421*2.67-T421</f>
        <v>4.0049999999999999</v>
      </c>
      <c r="AQ421" s="197">
        <f>O421*2.4-U421</f>
        <v>12.9</v>
      </c>
      <c r="AY421" s="197">
        <f>P421*2.67-V421</f>
        <v>0</v>
      </c>
    </row>
    <row r="422" spans="1:54" x14ac:dyDescent="0.2">
      <c r="A422" s="171">
        <v>67</v>
      </c>
      <c r="B422" s="171" t="s">
        <v>111</v>
      </c>
      <c r="C422" s="171" t="s">
        <v>113</v>
      </c>
      <c r="D422" s="10" t="s">
        <v>951</v>
      </c>
      <c r="E422" s="193" t="s">
        <v>945</v>
      </c>
      <c r="F422" s="202">
        <v>2.95</v>
      </c>
      <c r="G422" s="200">
        <f t="shared" si="82"/>
        <v>2.4</v>
      </c>
      <c r="H422" s="203" t="s">
        <v>272</v>
      </c>
      <c r="I422" s="10" t="s">
        <v>604</v>
      </c>
      <c r="J422" s="10" t="s">
        <v>10</v>
      </c>
      <c r="K422" s="10" t="s">
        <v>756</v>
      </c>
      <c r="L422" s="193"/>
      <c r="M422" s="196">
        <f>8.15-1.65</f>
        <v>6.5</v>
      </c>
      <c r="N422" s="196">
        <f>1.65</f>
        <v>1.65</v>
      </c>
      <c r="O422" s="196">
        <f t="shared" si="83"/>
        <v>4.8499999999999996</v>
      </c>
      <c r="U422" s="196">
        <f>0.75*2.1</f>
        <v>1.5750000000000002</v>
      </c>
      <c r="AP422" s="197">
        <f>N422*2.67-T422</f>
        <v>4.4055</v>
      </c>
      <c r="AQ422" s="197">
        <f>O422*2.4-U422</f>
        <v>10.064999999999998</v>
      </c>
    </row>
    <row r="423" spans="1:54" x14ac:dyDescent="0.2">
      <c r="A423" s="171">
        <v>70</v>
      </c>
      <c r="B423" s="171" t="s">
        <v>111</v>
      </c>
      <c r="C423" s="171" t="s">
        <v>113</v>
      </c>
      <c r="D423" s="10" t="s">
        <v>954</v>
      </c>
      <c r="E423" s="193" t="s">
        <v>935</v>
      </c>
      <c r="F423" s="202">
        <v>3.4</v>
      </c>
      <c r="G423" s="200">
        <f t="shared" si="82"/>
        <v>2.4</v>
      </c>
      <c r="H423" s="203">
        <v>2400</v>
      </c>
      <c r="I423" s="10" t="s">
        <v>604</v>
      </c>
      <c r="J423" s="10" t="s">
        <v>10</v>
      </c>
      <c r="K423" s="10" t="s">
        <v>767</v>
      </c>
      <c r="L423" s="193"/>
      <c r="M423" s="196">
        <f>8.7-0.9</f>
        <v>7.7999999999999989</v>
      </c>
      <c r="N423" s="196">
        <f>0.6+2.5</f>
        <v>3.1</v>
      </c>
      <c r="O423" s="196">
        <f t="shared" si="83"/>
        <v>4.6999999999999993</v>
      </c>
      <c r="AP423" s="197">
        <f>N423*2.67-T423</f>
        <v>8.2769999999999992</v>
      </c>
      <c r="AQ423" s="197">
        <f>O423*2.4-U423</f>
        <v>11.279999999999998</v>
      </c>
    </row>
    <row r="424" spans="1:54" x14ac:dyDescent="0.2">
      <c r="A424" s="186">
        <v>71</v>
      </c>
      <c r="B424" s="171" t="s">
        <v>111</v>
      </c>
      <c r="C424" s="171" t="s">
        <v>113</v>
      </c>
      <c r="D424" s="10" t="s">
        <v>955</v>
      </c>
      <c r="E424" s="193" t="s">
        <v>937</v>
      </c>
      <c r="F424" s="202">
        <v>2</v>
      </c>
      <c r="G424" s="200">
        <f t="shared" si="82"/>
        <v>2.4</v>
      </c>
      <c r="H424" s="203">
        <v>2400</v>
      </c>
      <c r="I424" s="10" t="s">
        <v>604</v>
      </c>
      <c r="J424" s="10" t="s">
        <v>10</v>
      </c>
      <c r="K424" s="10" t="s">
        <v>756</v>
      </c>
      <c r="L424" s="193"/>
      <c r="M424" s="196">
        <f>5.55-1.35</f>
        <v>4.1999999999999993</v>
      </c>
      <c r="N424" s="196">
        <f>1.35</f>
        <v>1.35</v>
      </c>
      <c r="O424" s="196">
        <f t="shared" si="83"/>
        <v>2.8499999999999992</v>
      </c>
      <c r="U424" s="196">
        <f>0.75*2.1</f>
        <v>1.5750000000000002</v>
      </c>
      <c r="AP424" s="197">
        <f>N424*2.67-T424</f>
        <v>3.6045000000000003</v>
      </c>
      <c r="AQ424" s="197">
        <f>O424*2.4-U424</f>
        <v>5.2649999999999979</v>
      </c>
      <c r="AY424" s="197">
        <f>P424*2.67-V424</f>
        <v>0</v>
      </c>
    </row>
    <row r="425" spans="1:54" x14ac:dyDescent="0.2">
      <c r="A425" s="171">
        <v>91</v>
      </c>
      <c r="B425" s="171" t="s">
        <v>111</v>
      </c>
      <c r="C425" s="171" t="s">
        <v>114</v>
      </c>
      <c r="D425" s="10" t="s">
        <v>958</v>
      </c>
      <c r="E425" s="193" t="s">
        <v>943</v>
      </c>
      <c r="F425" s="202">
        <v>5.75</v>
      </c>
      <c r="G425" s="200">
        <f t="shared" si="82"/>
        <v>2.4</v>
      </c>
      <c r="H425" s="203">
        <v>2400</v>
      </c>
      <c r="I425" s="10" t="s">
        <v>604</v>
      </c>
      <c r="J425" s="10" t="s">
        <v>10</v>
      </c>
      <c r="K425" s="10" t="s">
        <v>767</v>
      </c>
      <c r="L425" s="193"/>
      <c r="M425" s="196">
        <v>11.4</v>
      </c>
      <c r="N425" s="196">
        <f>2.2</f>
        <v>2.2000000000000002</v>
      </c>
      <c r="O425" s="196">
        <f t="shared" si="83"/>
        <v>9.1999999999999993</v>
      </c>
    </row>
    <row r="426" spans="1:54" x14ac:dyDescent="0.2">
      <c r="A426" s="186">
        <v>92</v>
      </c>
      <c r="B426" s="171" t="s">
        <v>111</v>
      </c>
      <c r="C426" s="171" t="s">
        <v>114</v>
      </c>
      <c r="D426" s="10" t="s">
        <v>959</v>
      </c>
      <c r="E426" s="193" t="s">
        <v>945</v>
      </c>
      <c r="F426" s="202">
        <v>1.8</v>
      </c>
      <c r="G426" s="200">
        <f t="shared" si="82"/>
        <v>2.2999999999999998</v>
      </c>
      <c r="H426" s="203">
        <v>2300</v>
      </c>
      <c r="I426" s="10" t="s">
        <v>604</v>
      </c>
      <c r="J426" s="10" t="s">
        <v>10</v>
      </c>
      <c r="K426" s="10" t="s">
        <v>949</v>
      </c>
      <c r="L426" s="193"/>
      <c r="M426" s="196">
        <f>5.5/2</f>
        <v>2.75</v>
      </c>
      <c r="N426" s="196">
        <v>1.6</v>
      </c>
      <c r="O426" s="196">
        <f t="shared" si="83"/>
        <v>1.1499999999999999</v>
      </c>
    </row>
    <row r="427" spans="1:54" x14ac:dyDescent="0.2">
      <c r="A427" s="186">
        <v>95</v>
      </c>
      <c r="B427" s="171" t="s">
        <v>111</v>
      </c>
      <c r="C427" s="171" t="s">
        <v>114</v>
      </c>
      <c r="D427" s="10" t="s">
        <v>963</v>
      </c>
      <c r="E427" s="193" t="s">
        <v>935</v>
      </c>
      <c r="F427" s="202">
        <v>5.4</v>
      </c>
      <c r="G427" s="200">
        <f t="shared" si="82"/>
        <v>2.4</v>
      </c>
      <c r="H427" s="203">
        <v>2400</v>
      </c>
      <c r="I427" s="10" t="s">
        <v>604</v>
      </c>
      <c r="J427" s="10" t="s">
        <v>10</v>
      </c>
      <c r="K427" s="10" t="s">
        <v>767</v>
      </c>
      <c r="L427" s="193"/>
      <c r="M427" s="196">
        <f>12.4-0.9</f>
        <v>11.5</v>
      </c>
      <c r="N427" s="196">
        <f>2.1+0.6+1+0.93</f>
        <v>4.63</v>
      </c>
      <c r="O427" s="196">
        <f t="shared" si="83"/>
        <v>6.87</v>
      </c>
    </row>
    <row r="428" spans="1:54" x14ac:dyDescent="0.2">
      <c r="A428" s="186">
        <v>96</v>
      </c>
      <c r="B428" s="171" t="s">
        <v>111</v>
      </c>
      <c r="C428" s="171" t="s">
        <v>114</v>
      </c>
      <c r="D428" s="10" t="s">
        <v>964</v>
      </c>
      <c r="E428" s="193" t="s">
        <v>937</v>
      </c>
      <c r="F428" s="202">
        <v>1.9</v>
      </c>
      <c r="G428" s="200">
        <f t="shared" si="82"/>
        <v>2.4</v>
      </c>
      <c r="H428" s="203">
        <v>2400</v>
      </c>
      <c r="I428" s="10" t="s">
        <v>604</v>
      </c>
      <c r="J428" s="10" t="s">
        <v>10</v>
      </c>
      <c r="K428" s="10" t="s">
        <v>949</v>
      </c>
      <c r="L428" s="193"/>
      <c r="M428" s="196">
        <f>5.5-1.6</f>
        <v>3.9</v>
      </c>
      <c r="N428" s="196">
        <f>1.6</f>
        <v>1.6</v>
      </c>
      <c r="O428" s="196">
        <f t="shared" si="83"/>
        <v>2.2999999999999998</v>
      </c>
      <c r="U428" s="196">
        <f>1.15*2.1</f>
        <v>2.415</v>
      </c>
      <c r="AL428" s="197">
        <f>N428*H428/1000-T428</f>
        <v>3.84</v>
      </c>
      <c r="AM428" s="197">
        <f>O428*H428/1000-U428</f>
        <v>3.1049999999999995</v>
      </c>
      <c r="AN428" s="197">
        <f>P428*H428/1000-V428</f>
        <v>0</v>
      </c>
      <c r="AO428" s="171"/>
      <c r="AP428" s="197">
        <f>Q428*H428/1000-W428</f>
        <v>0</v>
      </c>
      <c r="AZ428" s="197">
        <f>R428*H428/1000-X428</f>
        <v>0</v>
      </c>
    </row>
    <row r="429" spans="1:54" x14ac:dyDescent="0.2">
      <c r="A429" s="186">
        <v>99</v>
      </c>
      <c r="B429" s="171" t="s">
        <v>111</v>
      </c>
      <c r="C429" s="171" t="s">
        <v>114</v>
      </c>
      <c r="D429" s="10" t="s">
        <v>968</v>
      </c>
      <c r="E429" s="193" t="s">
        <v>969</v>
      </c>
      <c r="F429" s="202">
        <v>2.5</v>
      </c>
      <c r="G429" s="200">
        <f t="shared" si="82"/>
        <v>2.4</v>
      </c>
      <c r="H429" s="203">
        <v>2400</v>
      </c>
      <c r="I429" s="10" t="s">
        <v>604</v>
      </c>
      <c r="J429" s="10" t="s">
        <v>10</v>
      </c>
      <c r="K429" s="10" t="s">
        <v>767</v>
      </c>
      <c r="L429" s="193"/>
      <c r="M429" s="196">
        <f>6.4-1.9</f>
        <v>4.5</v>
      </c>
      <c r="N429" s="196">
        <f>M429-O429</f>
        <v>3.5</v>
      </c>
      <c r="O429" s="196">
        <f>1</f>
        <v>1</v>
      </c>
      <c r="AH429" s="197">
        <f>N429*G429-T429</f>
        <v>8.4</v>
      </c>
      <c r="AP429" s="197">
        <f>O429*G429-U429</f>
        <v>2.4</v>
      </c>
      <c r="AR429" s="197">
        <f>P429*G429-V429</f>
        <v>0</v>
      </c>
    </row>
    <row r="430" spans="1:54" x14ac:dyDescent="0.2">
      <c r="A430" s="171">
        <v>100</v>
      </c>
      <c r="B430" s="171" t="s">
        <v>111</v>
      </c>
      <c r="C430" s="171" t="s">
        <v>114</v>
      </c>
      <c r="D430" s="10" t="s">
        <v>970</v>
      </c>
      <c r="E430" s="193" t="s">
        <v>971</v>
      </c>
      <c r="F430" s="202">
        <v>5.0999999999999996</v>
      </c>
      <c r="G430" s="200">
        <f t="shared" si="82"/>
        <v>2.4</v>
      </c>
      <c r="H430" s="203">
        <v>2400</v>
      </c>
      <c r="I430" s="10" t="s">
        <v>604</v>
      </c>
      <c r="J430" s="10" t="s">
        <v>10</v>
      </c>
      <c r="K430" s="10" t="s">
        <v>949</v>
      </c>
      <c r="L430" s="193"/>
      <c r="M430" s="196">
        <f>9.2-1.9-1.925</f>
        <v>5.3749999999999991</v>
      </c>
      <c r="N430" s="196">
        <f>M430-O430</f>
        <v>3.1749999999999989</v>
      </c>
      <c r="O430" s="196">
        <f>1.95+0.25</f>
        <v>2.2000000000000002</v>
      </c>
      <c r="AM430" s="197">
        <f>N430*G430-T430</f>
        <v>7.6199999999999974</v>
      </c>
      <c r="AP430" s="197">
        <f>O430*G430-U430</f>
        <v>5.28</v>
      </c>
      <c r="AR430" s="197">
        <f>P430*G430-V430</f>
        <v>0</v>
      </c>
    </row>
    <row r="431" spans="1:54" x14ac:dyDescent="0.2">
      <c r="A431" s="186">
        <v>32</v>
      </c>
      <c r="B431" s="171" t="s">
        <v>111</v>
      </c>
      <c r="C431" s="171" t="s">
        <v>112</v>
      </c>
      <c r="D431" s="10" t="s">
        <v>946</v>
      </c>
      <c r="E431" s="193" t="s">
        <v>947</v>
      </c>
      <c r="F431" s="202">
        <v>1.5</v>
      </c>
      <c r="G431" s="200">
        <f t="shared" si="82"/>
        <v>2.2999999999999998</v>
      </c>
      <c r="H431" s="203">
        <v>2300</v>
      </c>
      <c r="I431" s="10" t="s">
        <v>604</v>
      </c>
      <c r="J431" s="10" t="s">
        <v>12</v>
      </c>
      <c r="K431" s="10" t="s">
        <v>756</v>
      </c>
      <c r="L431" s="193"/>
      <c r="M431" s="196">
        <f>4.95-1.65</f>
        <v>3.3000000000000003</v>
      </c>
      <c r="N431" s="196">
        <v>3.3</v>
      </c>
    </row>
    <row r="432" spans="1:54" x14ac:dyDescent="0.2">
      <c r="A432" s="186">
        <v>68</v>
      </c>
      <c r="B432" s="171" t="s">
        <v>111</v>
      </c>
      <c r="C432" s="171" t="s">
        <v>113</v>
      </c>
      <c r="D432" s="10" t="s">
        <v>952</v>
      </c>
      <c r="E432" s="193" t="s">
        <v>947</v>
      </c>
      <c r="F432" s="202">
        <v>1.5</v>
      </c>
      <c r="G432" s="200">
        <f t="shared" si="82"/>
        <v>2.4</v>
      </c>
      <c r="H432" s="203">
        <v>2400</v>
      </c>
      <c r="I432" s="10" t="s">
        <v>604</v>
      </c>
      <c r="J432" s="10" t="s">
        <v>12</v>
      </c>
      <c r="K432" s="10" t="s">
        <v>949</v>
      </c>
      <c r="L432" s="193"/>
      <c r="M432" s="196">
        <f>4.9-1.65</f>
        <v>3.2500000000000004</v>
      </c>
      <c r="N432" s="196">
        <f>M432</f>
        <v>3.2500000000000004</v>
      </c>
      <c r="AP432" s="197">
        <f>N432*2.67-T432</f>
        <v>8.6775000000000002</v>
      </c>
      <c r="AQ432" s="197">
        <f>O432*2.4-U432</f>
        <v>0</v>
      </c>
    </row>
    <row r="433" spans="1:54" x14ac:dyDescent="0.2">
      <c r="A433" s="186">
        <v>72</v>
      </c>
      <c r="B433" s="171" t="s">
        <v>111</v>
      </c>
      <c r="C433" s="171" t="s">
        <v>113</v>
      </c>
      <c r="D433" s="10" t="s">
        <v>956</v>
      </c>
      <c r="E433" s="193" t="s">
        <v>939</v>
      </c>
      <c r="F433" s="202">
        <v>1.8</v>
      </c>
      <c r="G433" s="200">
        <f t="shared" si="82"/>
        <v>2.4</v>
      </c>
      <c r="H433" s="203">
        <v>2400</v>
      </c>
      <c r="I433" s="10" t="s">
        <v>604</v>
      </c>
      <c r="J433" s="10" t="s">
        <v>12</v>
      </c>
      <c r="K433" s="10" t="s">
        <v>949</v>
      </c>
      <c r="L433" s="193"/>
      <c r="M433" s="196">
        <f>5.2-1.35</f>
        <v>3.85</v>
      </c>
      <c r="N433" s="196">
        <f>M433</f>
        <v>3.85</v>
      </c>
      <c r="AP433" s="197">
        <f>N433*2.67-T433</f>
        <v>10.279500000000001</v>
      </c>
      <c r="AQ433" s="197">
        <f>O433*2.4-U433</f>
        <v>0</v>
      </c>
      <c r="AY433" s="197">
        <f>P433*2.67-V433</f>
        <v>0</v>
      </c>
    </row>
    <row r="434" spans="1:54" x14ac:dyDescent="0.2">
      <c r="A434" s="186">
        <v>93</v>
      </c>
      <c r="B434" s="171" t="s">
        <v>111</v>
      </c>
      <c r="C434" s="171" t="s">
        <v>114</v>
      </c>
      <c r="D434" s="10" t="s">
        <v>960</v>
      </c>
      <c r="E434" s="193" t="s">
        <v>947</v>
      </c>
      <c r="F434" s="202">
        <v>2.2000000000000002</v>
      </c>
      <c r="G434" s="200">
        <f t="shared" si="82"/>
        <v>2.2999999999999998</v>
      </c>
      <c r="H434" s="203">
        <v>2300</v>
      </c>
      <c r="I434" s="10" t="s">
        <v>604</v>
      </c>
      <c r="J434" s="10" t="s">
        <v>12</v>
      </c>
      <c r="K434" s="10" t="s">
        <v>756</v>
      </c>
      <c r="L434" s="193"/>
      <c r="M434" s="196">
        <f>5.8-1.6</f>
        <v>4.1999999999999993</v>
      </c>
      <c r="N434" s="196">
        <f>M434</f>
        <v>4.1999999999999993</v>
      </c>
      <c r="AM434" s="197">
        <f>N434*G434-T434</f>
        <v>9.6599999999999984</v>
      </c>
      <c r="AN434" s="197">
        <f>O434*G434-U434</f>
        <v>0</v>
      </c>
      <c r="AO434" s="197">
        <f>P434*G434-V434</f>
        <v>0</v>
      </c>
      <c r="AZ434" s="197">
        <f>Q434*G434-W434</f>
        <v>0</v>
      </c>
    </row>
    <row r="435" spans="1:54" x14ac:dyDescent="0.2">
      <c r="A435" s="171">
        <v>97</v>
      </c>
      <c r="B435" s="171" t="s">
        <v>111</v>
      </c>
      <c r="C435" s="171" t="s">
        <v>114</v>
      </c>
      <c r="D435" s="10" t="s">
        <v>965</v>
      </c>
      <c r="E435" s="193" t="s">
        <v>939</v>
      </c>
      <c r="F435" s="202">
        <v>1.5</v>
      </c>
      <c r="G435" s="200">
        <f t="shared" si="82"/>
        <v>2.4</v>
      </c>
      <c r="H435" s="203">
        <v>2400</v>
      </c>
      <c r="I435" s="10" t="s">
        <v>604</v>
      </c>
      <c r="J435" s="10" t="s">
        <v>12</v>
      </c>
      <c r="K435" s="10" t="s">
        <v>756</v>
      </c>
      <c r="L435" s="193"/>
      <c r="M435" s="196">
        <f>4.9-1.6</f>
        <v>3.3000000000000003</v>
      </c>
      <c r="N435" s="196">
        <f>M435</f>
        <v>3.3000000000000003</v>
      </c>
    </row>
    <row r="436" spans="1:54" s="197" customFormat="1" x14ac:dyDescent="0.2">
      <c r="A436" s="186">
        <v>467</v>
      </c>
      <c r="B436" s="171" t="s">
        <v>119</v>
      </c>
      <c r="C436" s="171" t="s">
        <v>114</v>
      </c>
      <c r="D436" s="216" t="s">
        <v>337</v>
      </c>
      <c r="E436" s="193" t="s">
        <v>679</v>
      </c>
      <c r="F436" s="202">
        <v>38.35</v>
      </c>
      <c r="G436" s="200">
        <f t="shared" si="82"/>
        <v>2.83</v>
      </c>
      <c r="H436" s="203">
        <v>2830</v>
      </c>
      <c r="I436" s="10" t="s">
        <v>977</v>
      </c>
      <c r="J436" s="10" t="s">
        <v>88</v>
      </c>
      <c r="K436" s="10" t="s">
        <v>836</v>
      </c>
      <c r="L436" s="193"/>
      <c r="M436" s="196"/>
      <c r="N436" s="196"/>
      <c r="O436" s="196"/>
      <c r="P436" s="196"/>
      <c r="Q436" s="196"/>
      <c r="R436" s="196"/>
      <c r="S436" s="196"/>
      <c r="T436" s="196"/>
      <c r="U436" s="196"/>
      <c r="V436" s="196"/>
      <c r="W436" s="196"/>
      <c r="X436" s="196"/>
      <c r="Y436" s="171"/>
      <c r="AM436" s="197">
        <f>N436*G436-T436</f>
        <v>0</v>
      </c>
      <c r="AP436" s="197">
        <f>O436*G436-U436</f>
        <v>0</v>
      </c>
      <c r="BA436" s="171"/>
      <c r="BB436" s="171"/>
    </row>
    <row r="437" spans="1:54" s="197" customFormat="1" x14ac:dyDescent="0.2">
      <c r="A437" s="171">
        <v>361</v>
      </c>
      <c r="B437" s="171" t="s">
        <v>118</v>
      </c>
      <c r="C437" s="171" t="s">
        <v>114</v>
      </c>
      <c r="D437" s="216" t="s">
        <v>391</v>
      </c>
      <c r="E437" s="193" t="s">
        <v>871</v>
      </c>
      <c r="F437" s="194">
        <v>7.75</v>
      </c>
      <c r="G437" s="200">
        <f t="shared" si="82"/>
        <v>2.4</v>
      </c>
      <c r="H437" s="208">
        <v>2400</v>
      </c>
      <c r="I437" s="10" t="s">
        <v>973</v>
      </c>
      <c r="J437" s="10" t="s">
        <v>36</v>
      </c>
      <c r="K437" s="10" t="s">
        <v>738</v>
      </c>
      <c r="L437" s="193"/>
      <c r="M437" s="196"/>
      <c r="N437" s="196"/>
      <c r="O437" s="196"/>
      <c r="P437" s="196"/>
      <c r="Q437" s="196"/>
      <c r="R437" s="196"/>
      <c r="S437" s="196"/>
      <c r="T437" s="196"/>
      <c r="U437" s="196"/>
      <c r="V437" s="196"/>
      <c r="W437" s="196"/>
      <c r="X437" s="196"/>
      <c r="Y437" s="171"/>
      <c r="AM437" s="197">
        <f>N437*G437-T437</f>
        <v>0</v>
      </c>
      <c r="AP437" s="197">
        <f>O437*G437-U437</f>
        <v>0</v>
      </c>
      <c r="BA437" s="171"/>
      <c r="BB437" s="171"/>
    </row>
    <row r="438" spans="1:54" s="197" customFormat="1" x14ac:dyDescent="0.2">
      <c r="A438" s="186">
        <v>362</v>
      </c>
      <c r="B438" s="171" t="s">
        <v>118</v>
      </c>
      <c r="C438" s="171" t="s">
        <v>114</v>
      </c>
      <c r="D438" s="216" t="s">
        <v>412</v>
      </c>
      <c r="E438" s="193" t="s">
        <v>873</v>
      </c>
      <c r="F438" s="194">
        <v>17.75</v>
      </c>
      <c r="G438" s="200">
        <f t="shared" si="82"/>
        <v>2.4</v>
      </c>
      <c r="H438" s="208">
        <v>2400</v>
      </c>
      <c r="I438" s="10" t="s">
        <v>973</v>
      </c>
      <c r="J438" s="10" t="s">
        <v>90</v>
      </c>
      <c r="K438" s="10" t="s">
        <v>752</v>
      </c>
      <c r="L438" s="193"/>
      <c r="M438" s="196"/>
      <c r="N438" s="196"/>
      <c r="O438" s="196"/>
      <c r="P438" s="196"/>
      <c r="Q438" s="196"/>
      <c r="R438" s="196"/>
      <c r="S438" s="196"/>
      <c r="T438" s="196"/>
      <c r="U438" s="196"/>
      <c r="V438" s="196"/>
      <c r="W438" s="196"/>
      <c r="X438" s="196"/>
      <c r="Y438" s="171"/>
      <c r="AM438" s="197">
        <f>N438*G438-T438</f>
        <v>0</v>
      </c>
      <c r="AP438" s="197">
        <f>O438*G438-U438</f>
        <v>0</v>
      </c>
      <c r="AR438" s="197">
        <f>P438*G438-V438</f>
        <v>0</v>
      </c>
      <c r="BA438" s="171"/>
      <c r="BB438" s="171"/>
    </row>
    <row r="439" spans="1:54" s="197" customFormat="1" ht="60" x14ac:dyDescent="0.2">
      <c r="A439" s="171">
        <v>115</v>
      </c>
      <c r="B439" s="171" t="s">
        <v>116</v>
      </c>
      <c r="C439" s="171" t="s">
        <v>112</v>
      </c>
      <c r="D439" s="209" t="s">
        <v>275</v>
      </c>
      <c r="E439" s="193" t="s">
        <v>1019</v>
      </c>
      <c r="F439" s="194">
        <v>46.9</v>
      </c>
      <c r="G439" s="200">
        <f t="shared" si="82"/>
        <v>3</v>
      </c>
      <c r="H439" s="208">
        <v>3000</v>
      </c>
      <c r="I439" s="10" t="s">
        <v>605</v>
      </c>
      <c r="J439" s="10" t="s">
        <v>36</v>
      </c>
      <c r="K439" s="10" t="s">
        <v>1017</v>
      </c>
      <c r="L439" s="10" t="s">
        <v>33</v>
      </c>
      <c r="M439" s="196"/>
      <c r="N439" s="196"/>
      <c r="O439" s="196"/>
      <c r="P439" s="196"/>
      <c r="Q439" s="196"/>
      <c r="R439" s="196"/>
      <c r="S439" s="196"/>
      <c r="T439" s="196"/>
      <c r="U439" s="196"/>
      <c r="V439" s="196"/>
      <c r="W439" s="196"/>
      <c r="X439" s="196"/>
      <c r="Y439" s="171"/>
      <c r="AH439" s="197">
        <f>N439*G439-T439</f>
        <v>0</v>
      </c>
      <c r="AP439" s="197">
        <f>O439*G439-U439</f>
        <v>0</v>
      </c>
      <c r="AR439" s="197">
        <f>P439*G439-V439</f>
        <v>0</v>
      </c>
      <c r="BA439" s="171"/>
      <c r="BB439" s="171"/>
    </row>
    <row r="440" spans="1:54" s="197" customFormat="1" x14ac:dyDescent="0.2">
      <c r="A440" s="186">
        <v>129</v>
      </c>
      <c r="B440" s="171" t="s">
        <v>116</v>
      </c>
      <c r="C440" s="171" t="s">
        <v>112</v>
      </c>
      <c r="D440" s="193" t="s">
        <v>1061</v>
      </c>
      <c r="E440" s="193" t="s">
        <v>1062</v>
      </c>
      <c r="F440" s="194">
        <v>2.8</v>
      </c>
      <c r="G440" s="200">
        <f t="shared" si="82"/>
        <v>2.4</v>
      </c>
      <c r="H440" s="208">
        <v>2400</v>
      </c>
      <c r="I440" s="10" t="s">
        <v>1056</v>
      </c>
      <c r="J440" s="10" t="s">
        <v>45</v>
      </c>
      <c r="K440" s="10" t="s">
        <v>738</v>
      </c>
      <c r="L440" s="10"/>
      <c r="M440" s="196">
        <f>7</f>
        <v>7</v>
      </c>
      <c r="N440" s="196">
        <f t="shared" ref="N440:N448" si="84">M440</f>
        <v>7</v>
      </c>
      <c r="O440" s="196"/>
      <c r="P440" s="196"/>
      <c r="Q440" s="196"/>
      <c r="R440" s="196"/>
      <c r="S440" s="196"/>
      <c r="T440" s="196">
        <f>1.5*2.1+1*2.4</f>
        <v>5.5500000000000007</v>
      </c>
      <c r="U440" s="196"/>
      <c r="V440" s="196"/>
      <c r="W440" s="196"/>
      <c r="X440" s="196"/>
      <c r="Y440" s="171"/>
      <c r="BA440" s="171"/>
      <c r="BB440" s="171"/>
    </row>
    <row r="441" spans="1:54" s="197" customFormat="1" x14ac:dyDescent="0.2">
      <c r="A441" s="171">
        <v>130</v>
      </c>
      <c r="B441" s="171" t="s">
        <v>116</v>
      </c>
      <c r="C441" s="171" t="s">
        <v>112</v>
      </c>
      <c r="D441" s="193" t="s">
        <v>1063</v>
      </c>
      <c r="E441" s="193" t="s">
        <v>1064</v>
      </c>
      <c r="F441" s="194">
        <v>1.9</v>
      </c>
      <c r="G441" s="200">
        <f t="shared" si="82"/>
        <v>2.4</v>
      </c>
      <c r="H441" s="208">
        <v>2400</v>
      </c>
      <c r="I441" s="10" t="s">
        <v>1056</v>
      </c>
      <c r="J441" s="10" t="s">
        <v>45</v>
      </c>
      <c r="K441" s="10" t="s">
        <v>738</v>
      </c>
      <c r="L441" s="10"/>
      <c r="M441" s="196">
        <v>5.7</v>
      </c>
      <c r="N441" s="196">
        <f t="shared" si="84"/>
        <v>5.7</v>
      </c>
      <c r="O441" s="196"/>
      <c r="P441" s="196"/>
      <c r="Q441" s="196"/>
      <c r="R441" s="196"/>
      <c r="S441" s="196"/>
      <c r="T441" s="196">
        <f>1.5*2.1</f>
        <v>3.1500000000000004</v>
      </c>
      <c r="U441" s="196"/>
      <c r="V441" s="196"/>
      <c r="W441" s="196"/>
      <c r="X441" s="196"/>
      <c r="Y441" s="171"/>
      <c r="BA441" s="171"/>
      <c r="BB441" s="171"/>
    </row>
    <row r="442" spans="1:54" s="197" customFormat="1" x14ac:dyDescent="0.2">
      <c r="A442" s="186">
        <v>131</v>
      </c>
      <c r="B442" s="171" t="s">
        <v>116</v>
      </c>
      <c r="C442" s="171" t="s">
        <v>112</v>
      </c>
      <c r="D442" s="193" t="s">
        <v>1065</v>
      </c>
      <c r="E442" s="193" t="s">
        <v>811</v>
      </c>
      <c r="F442" s="194">
        <v>3.75</v>
      </c>
      <c r="G442" s="200">
        <f t="shared" si="82"/>
        <v>2.4</v>
      </c>
      <c r="H442" s="208">
        <v>2400</v>
      </c>
      <c r="I442" s="10" t="s">
        <v>1056</v>
      </c>
      <c r="J442" s="10" t="s">
        <v>45</v>
      </c>
      <c r="K442" s="10" t="s">
        <v>738</v>
      </c>
      <c r="L442" s="10"/>
      <c r="M442" s="196">
        <v>7.85</v>
      </c>
      <c r="N442" s="196">
        <f t="shared" si="84"/>
        <v>7.85</v>
      </c>
      <c r="O442" s="196"/>
      <c r="P442" s="196"/>
      <c r="Q442" s="196"/>
      <c r="R442" s="196"/>
      <c r="S442" s="196"/>
      <c r="T442" s="196">
        <f>1.7*2.4</f>
        <v>4.08</v>
      </c>
      <c r="U442" s="196"/>
      <c r="V442" s="196"/>
      <c r="W442" s="196"/>
      <c r="X442" s="196"/>
      <c r="Y442" s="171"/>
      <c r="AO442" s="171"/>
      <c r="BA442" s="171"/>
      <c r="BB442" s="171"/>
    </row>
    <row r="443" spans="1:54" s="197" customFormat="1" x14ac:dyDescent="0.2">
      <c r="A443" s="186">
        <v>132</v>
      </c>
      <c r="B443" s="171" t="s">
        <v>116</v>
      </c>
      <c r="C443" s="171" t="s">
        <v>112</v>
      </c>
      <c r="D443" s="193" t="s">
        <v>1066</v>
      </c>
      <c r="E443" s="193" t="s">
        <v>1067</v>
      </c>
      <c r="F443" s="194">
        <v>5.3</v>
      </c>
      <c r="G443" s="200">
        <f t="shared" si="82"/>
        <v>2.4</v>
      </c>
      <c r="H443" s="208">
        <v>2400</v>
      </c>
      <c r="I443" s="10" t="s">
        <v>1056</v>
      </c>
      <c r="J443" s="10" t="s">
        <v>45</v>
      </c>
      <c r="K443" s="10" t="s">
        <v>738</v>
      </c>
      <c r="L443" s="10"/>
      <c r="M443" s="196">
        <v>9.3000000000000007</v>
      </c>
      <c r="N443" s="196">
        <f t="shared" si="84"/>
        <v>9.3000000000000007</v>
      </c>
      <c r="O443" s="196"/>
      <c r="P443" s="196"/>
      <c r="Q443" s="196"/>
      <c r="R443" s="196"/>
      <c r="S443" s="196"/>
      <c r="T443" s="196">
        <f>2.4*2.4</f>
        <v>5.76</v>
      </c>
      <c r="U443" s="196"/>
      <c r="V443" s="196"/>
      <c r="W443" s="196"/>
      <c r="X443" s="196"/>
      <c r="Y443" s="171"/>
      <c r="BA443" s="171"/>
      <c r="BB443" s="171"/>
    </row>
    <row r="444" spans="1:54" s="197" customFormat="1" x14ac:dyDescent="0.2">
      <c r="A444" s="171">
        <v>133</v>
      </c>
      <c r="B444" s="171" t="s">
        <v>116</v>
      </c>
      <c r="C444" s="171" t="s">
        <v>112</v>
      </c>
      <c r="D444" s="193" t="s">
        <v>1068</v>
      </c>
      <c r="E444" s="193" t="s">
        <v>1069</v>
      </c>
      <c r="F444" s="194">
        <v>5.05</v>
      </c>
      <c r="G444" s="200">
        <f t="shared" si="82"/>
        <v>2.4</v>
      </c>
      <c r="H444" s="208">
        <v>2400</v>
      </c>
      <c r="I444" s="10" t="s">
        <v>1056</v>
      </c>
      <c r="J444" s="10" t="s">
        <v>45</v>
      </c>
      <c r="K444" s="10" t="s">
        <v>738</v>
      </c>
      <c r="L444" s="10"/>
      <c r="M444" s="196">
        <v>9.35</v>
      </c>
      <c r="N444" s="196">
        <f t="shared" si="84"/>
        <v>9.35</v>
      </c>
      <c r="O444" s="196"/>
      <c r="P444" s="196"/>
      <c r="Q444" s="196"/>
      <c r="R444" s="196"/>
      <c r="S444" s="196"/>
      <c r="T444" s="196">
        <f>3.15*2.4+1.2*2.4</f>
        <v>10.44</v>
      </c>
      <c r="U444" s="196"/>
      <c r="V444" s="196"/>
      <c r="W444" s="196"/>
      <c r="X444" s="196"/>
      <c r="Y444" s="171"/>
      <c r="BA444" s="171"/>
      <c r="BB444" s="171"/>
    </row>
    <row r="445" spans="1:54" s="197" customFormat="1" x14ac:dyDescent="0.2">
      <c r="A445" s="186">
        <v>134</v>
      </c>
      <c r="B445" s="171" t="s">
        <v>116</v>
      </c>
      <c r="C445" s="171" t="s">
        <v>112</v>
      </c>
      <c r="D445" s="193" t="s">
        <v>1070</v>
      </c>
      <c r="E445" s="193" t="s">
        <v>1071</v>
      </c>
      <c r="F445" s="194">
        <v>5.15</v>
      </c>
      <c r="G445" s="200">
        <f t="shared" si="82"/>
        <v>2.4</v>
      </c>
      <c r="H445" s="208">
        <v>2400</v>
      </c>
      <c r="I445" s="10" t="s">
        <v>1056</v>
      </c>
      <c r="J445" s="10" t="s">
        <v>45</v>
      </c>
      <c r="K445" s="10" t="s">
        <v>778</v>
      </c>
      <c r="L445" s="10"/>
      <c r="M445" s="196">
        <v>8.9499999999999993</v>
      </c>
      <c r="N445" s="196">
        <f t="shared" si="84"/>
        <v>8.9499999999999993</v>
      </c>
      <c r="O445" s="196"/>
      <c r="P445" s="196"/>
      <c r="Q445" s="196"/>
      <c r="R445" s="196"/>
      <c r="S445" s="196"/>
      <c r="T445" s="196">
        <f>1.2*2.4</f>
        <v>2.88</v>
      </c>
      <c r="U445" s="196"/>
      <c r="V445" s="196"/>
      <c r="W445" s="196"/>
      <c r="X445" s="196"/>
      <c r="Y445" s="171"/>
      <c r="AL445" s="197">
        <f>N445*G445-T445</f>
        <v>18.599999999999998</v>
      </c>
      <c r="AN445" s="197">
        <f>O445*G445-U445</f>
        <v>0</v>
      </c>
      <c r="AO445" s="197">
        <f>P445*G445-V445</f>
        <v>0</v>
      </c>
      <c r="AZ445" s="197">
        <f>Q445*G445-W445</f>
        <v>0</v>
      </c>
      <c r="BA445" s="171"/>
      <c r="BB445" s="171"/>
    </row>
    <row r="446" spans="1:54" s="197" customFormat="1" x14ac:dyDescent="0.2">
      <c r="A446" s="186">
        <v>135</v>
      </c>
      <c r="B446" s="171" t="s">
        <v>116</v>
      </c>
      <c r="C446" s="171" t="s">
        <v>112</v>
      </c>
      <c r="D446" s="193" t="s">
        <v>1072</v>
      </c>
      <c r="E446" s="193" t="s">
        <v>1073</v>
      </c>
      <c r="F446" s="194">
        <v>5.15</v>
      </c>
      <c r="G446" s="200">
        <f t="shared" si="82"/>
        <v>2.4</v>
      </c>
      <c r="H446" s="208">
        <v>2400</v>
      </c>
      <c r="I446" s="10" t="s">
        <v>1056</v>
      </c>
      <c r="J446" s="10" t="s">
        <v>45</v>
      </c>
      <c r="K446" s="10" t="s">
        <v>778</v>
      </c>
      <c r="L446" s="10"/>
      <c r="M446" s="196">
        <v>8.9</v>
      </c>
      <c r="N446" s="196">
        <f t="shared" si="84"/>
        <v>8.9</v>
      </c>
      <c r="O446" s="196"/>
      <c r="P446" s="196"/>
      <c r="Q446" s="196"/>
      <c r="R446" s="196"/>
      <c r="S446" s="196"/>
      <c r="T446" s="196">
        <f>1.2*2.4</f>
        <v>2.88</v>
      </c>
      <c r="U446" s="196"/>
      <c r="V446" s="196"/>
      <c r="W446" s="196"/>
      <c r="X446" s="196"/>
      <c r="Y446" s="171"/>
      <c r="AH446" s="197">
        <f>N446*G446-T446</f>
        <v>18.48</v>
      </c>
      <c r="AP446" s="197">
        <f>O446*G446-U446</f>
        <v>0</v>
      </c>
      <c r="AR446" s="197">
        <f>P446*G446-V446</f>
        <v>0</v>
      </c>
      <c r="BA446" s="171"/>
      <c r="BB446" s="171"/>
    </row>
    <row r="447" spans="1:54" s="197" customFormat="1" x14ac:dyDescent="0.2">
      <c r="A447" s="186">
        <v>137</v>
      </c>
      <c r="B447" s="171" t="s">
        <v>116</v>
      </c>
      <c r="C447" s="171" t="s">
        <v>112</v>
      </c>
      <c r="D447" s="193" t="s">
        <v>1076</v>
      </c>
      <c r="E447" s="193" t="s">
        <v>1062</v>
      </c>
      <c r="F447" s="194">
        <v>3</v>
      </c>
      <c r="G447" s="200">
        <f t="shared" ref="G447:G467" si="85">H447/1000</f>
        <v>2.4</v>
      </c>
      <c r="H447" s="208">
        <v>2400</v>
      </c>
      <c r="I447" s="10" t="s">
        <v>1056</v>
      </c>
      <c r="J447" s="10" t="s">
        <v>45</v>
      </c>
      <c r="K447" s="10" t="s">
        <v>738</v>
      </c>
      <c r="L447" s="10"/>
      <c r="M447" s="196">
        <v>6.9</v>
      </c>
      <c r="N447" s="196">
        <f t="shared" si="84"/>
        <v>6.9</v>
      </c>
      <c r="O447" s="196"/>
      <c r="P447" s="196"/>
      <c r="Q447" s="196"/>
      <c r="R447" s="196"/>
      <c r="S447" s="196"/>
      <c r="T447" s="196">
        <f>1.15*2.1+1.7*2.1</f>
        <v>5.9849999999999994</v>
      </c>
      <c r="U447" s="196"/>
      <c r="V447" s="196"/>
      <c r="W447" s="196"/>
      <c r="X447" s="196"/>
      <c r="Y447" s="171"/>
      <c r="AP447" s="197">
        <f>N447*G447-T447</f>
        <v>10.574999999999999</v>
      </c>
      <c r="BA447" s="171"/>
      <c r="BB447" s="171"/>
    </row>
    <row r="448" spans="1:54" s="197" customFormat="1" x14ac:dyDescent="0.2">
      <c r="A448" s="186">
        <v>138</v>
      </c>
      <c r="B448" s="171" t="s">
        <v>116</v>
      </c>
      <c r="C448" s="171" t="s">
        <v>112</v>
      </c>
      <c r="D448" s="193" t="s">
        <v>1077</v>
      </c>
      <c r="E448" s="193" t="s">
        <v>780</v>
      </c>
      <c r="F448" s="194">
        <v>1.5</v>
      </c>
      <c r="G448" s="200">
        <f t="shared" si="85"/>
        <v>2.4</v>
      </c>
      <c r="H448" s="208">
        <v>2400</v>
      </c>
      <c r="I448" s="10" t="s">
        <v>1056</v>
      </c>
      <c r="J448" s="10" t="s">
        <v>45</v>
      </c>
      <c r="K448" s="10" t="s">
        <v>738</v>
      </c>
      <c r="L448" s="10"/>
      <c r="M448" s="196">
        <v>5.0999999999999996</v>
      </c>
      <c r="N448" s="196">
        <f t="shared" si="84"/>
        <v>5.0999999999999996</v>
      </c>
      <c r="O448" s="196"/>
      <c r="P448" s="196"/>
      <c r="Q448" s="196"/>
      <c r="R448" s="196"/>
      <c r="S448" s="196"/>
      <c r="T448" s="196">
        <f>1.7*2.1</f>
        <v>3.57</v>
      </c>
      <c r="U448" s="196"/>
      <c r="V448" s="196"/>
      <c r="W448" s="196"/>
      <c r="X448" s="196"/>
      <c r="Y448" s="171"/>
      <c r="AM448" s="197">
        <f>N448*G448-T448</f>
        <v>8.6699999999999982</v>
      </c>
      <c r="AP448" s="197">
        <f>O448*G448-U448</f>
        <v>0</v>
      </c>
      <c r="AR448" s="197">
        <f>P448*G448-V448</f>
        <v>0</v>
      </c>
      <c r="BA448" s="171"/>
      <c r="BB448" s="171"/>
    </row>
    <row r="449" spans="1:54" s="197" customFormat="1" x14ac:dyDescent="0.2">
      <c r="A449" s="186">
        <v>219</v>
      </c>
      <c r="B449" s="171" t="s">
        <v>116</v>
      </c>
      <c r="C449" s="171" t="s">
        <v>114</v>
      </c>
      <c r="D449" s="216" t="s">
        <v>301</v>
      </c>
      <c r="E449" s="193" t="s">
        <v>1081</v>
      </c>
      <c r="F449" s="194">
        <v>2.95</v>
      </c>
      <c r="G449" s="200">
        <f t="shared" si="85"/>
        <v>2.4</v>
      </c>
      <c r="H449" s="208">
        <v>2400</v>
      </c>
      <c r="I449" s="10" t="s">
        <v>1056</v>
      </c>
      <c r="J449" s="189" t="s">
        <v>45</v>
      </c>
      <c r="K449" s="10" t="s">
        <v>738</v>
      </c>
      <c r="L449" s="193"/>
      <c r="M449" s="196"/>
      <c r="N449" s="196"/>
      <c r="O449" s="196"/>
      <c r="P449" s="196"/>
      <c r="Q449" s="196"/>
      <c r="R449" s="196"/>
      <c r="S449" s="196"/>
      <c r="T449" s="196"/>
      <c r="U449" s="196"/>
      <c r="V449" s="196"/>
      <c r="W449" s="196"/>
      <c r="X449" s="196"/>
      <c r="Y449" s="171"/>
      <c r="AM449" s="197">
        <f>N449*G449-T449</f>
        <v>0</v>
      </c>
      <c r="AP449" s="197">
        <f>O449*G449-U449</f>
        <v>0</v>
      </c>
      <c r="BA449" s="171"/>
      <c r="BB449" s="171"/>
    </row>
    <row r="450" spans="1:54" s="197" customFormat="1" x14ac:dyDescent="0.2">
      <c r="A450" s="171">
        <v>220</v>
      </c>
      <c r="B450" s="171" t="s">
        <v>116</v>
      </c>
      <c r="C450" s="171" t="s">
        <v>114</v>
      </c>
      <c r="D450" s="216" t="s">
        <v>302</v>
      </c>
      <c r="E450" s="193" t="s">
        <v>1083</v>
      </c>
      <c r="F450" s="194">
        <v>2.95</v>
      </c>
      <c r="G450" s="200">
        <f t="shared" si="85"/>
        <v>2.4</v>
      </c>
      <c r="H450" s="208">
        <v>2400</v>
      </c>
      <c r="I450" s="10" t="s">
        <v>1056</v>
      </c>
      <c r="J450" s="189" t="s">
        <v>45</v>
      </c>
      <c r="K450" s="10" t="s">
        <v>738</v>
      </c>
      <c r="L450" s="193"/>
      <c r="M450" s="196"/>
      <c r="N450" s="196"/>
      <c r="O450" s="196"/>
      <c r="P450" s="196"/>
      <c r="Q450" s="196"/>
      <c r="R450" s="196"/>
      <c r="S450" s="196"/>
      <c r="T450" s="196"/>
      <c r="U450" s="196"/>
      <c r="V450" s="196"/>
      <c r="W450" s="196"/>
      <c r="X450" s="196"/>
      <c r="Y450" s="171"/>
      <c r="AM450" s="197">
        <f>N450*G450-T450</f>
        <v>0</v>
      </c>
      <c r="AN450" s="197">
        <f>O450*G450-U450</f>
        <v>0</v>
      </c>
      <c r="AP450" s="197">
        <f>P450*G450-V450</f>
        <v>0</v>
      </c>
      <c r="AQ450" s="197">
        <f>Q450*G450-W450</f>
        <v>0</v>
      </c>
      <c r="AZ450" s="197">
        <f>R450*G450-X450</f>
        <v>0</v>
      </c>
      <c r="BA450" s="171"/>
      <c r="BB450" s="171"/>
    </row>
    <row r="451" spans="1:54" s="197" customFormat="1" x14ac:dyDescent="0.2">
      <c r="A451" s="186">
        <v>246</v>
      </c>
      <c r="B451" s="171" t="s">
        <v>116</v>
      </c>
      <c r="C451" s="171" t="s">
        <v>117</v>
      </c>
      <c r="D451" s="10" t="s">
        <v>1088</v>
      </c>
      <c r="E451" s="193" t="s">
        <v>1081</v>
      </c>
      <c r="F451" s="194">
        <v>1.6</v>
      </c>
      <c r="G451" s="200">
        <f t="shared" si="85"/>
        <v>2.4</v>
      </c>
      <c r="H451" s="208">
        <v>2400</v>
      </c>
      <c r="I451" s="210" t="s">
        <v>77</v>
      </c>
      <c r="J451" s="189" t="s">
        <v>45</v>
      </c>
      <c r="K451" s="10" t="s">
        <v>738</v>
      </c>
      <c r="L451" s="10"/>
      <c r="M451" s="196">
        <v>5.0999999999999996</v>
      </c>
      <c r="N451" s="196">
        <f>M451</f>
        <v>5.0999999999999996</v>
      </c>
      <c r="O451" s="196"/>
      <c r="P451" s="196"/>
      <c r="Q451" s="196"/>
      <c r="R451" s="196"/>
      <c r="S451" s="196"/>
      <c r="T451" s="196">
        <f>1.6*2.1</f>
        <v>3.3600000000000003</v>
      </c>
      <c r="U451" s="196"/>
      <c r="V451" s="196"/>
      <c r="W451" s="196"/>
      <c r="X451" s="196"/>
      <c r="Y451" s="171"/>
      <c r="AQ451" s="197">
        <f>N451*G451-T451</f>
        <v>8.879999999999999</v>
      </c>
      <c r="AT451" s="197">
        <f>O451*G451-U451</f>
        <v>0</v>
      </c>
      <c r="BA451" s="171"/>
      <c r="BB451" s="171"/>
    </row>
    <row r="452" spans="1:54" x14ac:dyDescent="0.2">
      <c r="A452" s="171">
        <v>247</v>
      </c>
      <c r="B452" s="171" t="s">
        <v>116</v>
      </c>
      <c r="C452" s="171" t="s">
        <v>117</v>
      </c>
      <c r="D452" s="10" t="s">
        <v>1089</v>
      </c>
      <c r="E452" s="193" t="s">
        <v>1081</v>
      </c>
      <c r="F452" s="194">
        <v>1.6</v>
      </c>
      <c r="G452" s="200">
        <f t="shared" si="85"/>
        <v>2.4</v>
      </c>
      <c r="H452" s="208">
        <v>2400</v>
      </c>
      <c r="I452" s="210" t="s">
        <v>77</v>
      </c>
      <c r="J452" s="189" t="s">
        <v>45</v>
      </c>
      <c r="K452" s="10" t="s">
        <v>738</v>
      </c>
      <c r="L452" s="10"/>
      <c r="M452" s="196">
        <v>5.0999999999999996</v>
      </c>
      <c r="N452" s="196">
        <f>M452</f>
        <v>5.0999999999999996</v>
      </c>
      <c r="T452" s="196">
        <f>1.6*2.1</f>
        <v>3.3600000000000003</v>
      </c>
      <c r="AQ452" s="197">
        <f>N452*G452-T452</f>
        <v>8.879999999999999</v>
      </c>
      <c r="AT452" s="197">
        <f>O452*G452-U452</f>
        <v>0</v>
      </c>
    </row>
    <row r="453" spans="1:54" x14ac:dyDescent="0.2">
      <c r="A453" s="186">
        <v>251</v>
      </c>
      <c r="B453" s="171" t="s">
        <v>116</v>
      </c>
      <c r="C453" s="171" t="s">
        <v>117</v>
      </c>
      <c r="D453" s="10" t="s">
        <v>1095</v>
      </c>
      <c r="E453" s="193" t="s">
        <v>1067</v>
      </c>
      <c r="F453" s="194">
        <v>4.9000000000000004</v>
      </c>
      <c r="G453" s="200">
        <f t="shared" si="85"/>
        <v>2.4</v>
      </c>
      <c r="H453" s="208">
        <v>2400</v>
      </c>
      <c r="I453" s="210" t="s">
        <v>77</v>
      </c>
      <c r="J453" s="189" t="s">
        <v>45</v>
      </c>
      <c r="K453" s="10" t="s">
        <v>738</v>
      </c>
      <c r="L453" s="10"/>
      <c r="M453" s="196">
        <v>8.6999999999999993</v>
      </c>
      <c r="N453" s="196">
        <f>M453</f>
        <v>8.6999999999999993</v>
      </c>
      <c r="T453" s="196">
        <f>2.25*2.1</f>
        <v>4.7250000000000005</v>
      </c>
      <c r="AP453" s="197">
        <f>N453*G453-T453</f>
        <v>16.154999999999998</v>
      </c>
    </row>
    <row r="454" spans="1:54" ht="30" x14ac:dyDescent="0.2">
      <c r="A454" s="186">
        <v>249</v>
      </c>
      <c r="B454" s="171" t="s">
        <v>116</v>
      </c>
      <c r="C454" s="171" t="s">
        <v>117</v>
      </c>
      <c r="D454" s="216" t="s">
        <v>313</v>
      </c>
      <c r="E454" s="193" t="s">
        <v>1083</v>
      </c>
      <c r="F454" s="194">
        <v>1.75</v>
      </c>
      <c r="G454" s="200">
        <f t="shared" si="85"/>
        <v>2.4</v>
      </c>
      <c r="H454" s="208">
        <v>2400</v>
      </c>
      <c r="I454" s="210" t="s">
        <v>77</v>
      </c>
      <c r="J454" s="189" t="s">
        <v>79</v>
      </c>
      <c r="K454" s="10" t="s">
        <v>738</v>
      </c>
      <c r="L454" s="10"/>
      <c r="M454" s="196">
        <v>7.4</v>
      </c>
      <c r="N454" s="196">
        <v>1.6</v>
      </c>
      <c r="O454" s="196">
        <f>M454-N454</f>
        <v>5.8000000000000007</v>
      </c>
      <c r="U454" s="196">
        <f>2*2.1</f>
        <v>4.2</v>
      </c>
    </row>
    <row r="455" spans="1:54" x14ac:dyDescent="0.2">
      <c r="A455" s="171">
        <v>250</v>
      </c>
      <c r="B455" s="171" t="s">
        <v>116</v>
      </c>
      <c r="C455" s="171" t="s">
        <v>117</v>
      </c>
      <c r="D455" s="216" t="s">
        <v>314</v>
      </c>
      <c r="E455" s="193" t="s">
        <v>1094</v>
      </c>
      <c r="F455" s="194">
        <v>1.5</v>
      </c>
      <c r="G455" s="200">
        <f t="shared" si="85"/>
        <v>2.4</v>
      </c>
      <c r="H455" s="208">
        <v>2400</v>
      </c>
      <c r="I455" s="210" t="s">
        <v>77</v>
      </c>
      <c r="J455" s="189" t="s">
        <v>79</v>
      </c>
      <c r="K455" s="10" t="s">
        <v>738</v>
      </c>
      <c r="L455" s="10"/>
      <c r="AP455" s="197">
        <f>N455*G455-T455</f>
        <v>0</v>
      </c>
      <c r="AY455" s="197">
        <f>O455*G455-U455</f>
        <v>0</v>
      </c>
    </row>
    <row r="456" spans="1:54" x14ac:dyDescent="0.2">
      <c r="A456" s="186">
        <v>165</v>
      </c>
      <c r="B456" s="171" t="s">
        <v>116</v>
      </c>
      <c r="C456" s="171" t="s">
        <v>113</v>
      </c>
      <c r="D456" s="10" t="s">
        <v>1102</v>
      </c>
      <c r="E456" s="193" t="s">
        <v>1103</v>
      </c>
      <c r="F456" s="198">
        <v>2</v>
      </c>
      <c r="G456" s="200">
        <f t="shared" si="85"/>
        <v>2.4</v>
      </c>
      <c r="H456" s="219">
        <v>2400</v>
      </c>
      <c r="I456" s="199" t="s">
        <v>57</v>
      </c>
      <c r="J456" s="10" t="s">
        <v>52</v>
      </c>
      <c r="K456" s="10" t="s">
        <v>1098</v>
      </c>
      <c r="L456" s="193"/>
      <c r="M456" s="196">
        <v>5.8</v>
      </c>
      <c r="N456" s="196">
        <f>M456</f>
        <v>5.8</v>
      </c>
      <c r="T456" s="196">
        <f>1.95*2.1</f>
        <v>4.0949999999999998</v>
      </c>
      <c r="AP456" s="197">
        <f>N456*2.67-T456</f>
        <v>11.390999999999998</v>
      </c>
      <c r="AQ456" s="197">
        <f>O456*2.4-U456</f>
        <v>0</v>
      </c>
    </row>
    <row r="457" spans="1:54" x14ac:dyDescent="0.2">
      <c r="A457" s="186">
        <v>167</v>
      </c>
      <c r="B457" s="171" t="s">
        <v>116</v>
      </c>
      <c r="C457" s="171" t="s">
        <v>113</v>
      </c>
      <c r="D457" s="10" t="s">
        <v>1106</v>
      </c>
      <c r="E457" s="193" t="s">
        <v>1107</v>
      </c>
      <c r="F457" s="198">
        <v>4.4000000000000004</v>
      </c>
      <c r="G457" s="200">
        <f t="shared" si="85"/>
        <v>2.4</v>
      </c>
      <c r="H457" s="219">
        <v>2400</v>
      </c>
      <c r="I457" s="221" t="s">
        <v>57</v>
      </c>
      <c r="J457" s="10" t="s">
        <v>52</v>
      </c>
      <c r="K457" s="10" t="s">
        <v>1101</v>
      </c>
      <c r="L457" s="193"/>
      <c r="M457" s="196">
        <v>10.8</v>
      </c>
      <c r="N457" s="196">
        <v>0.4</v>
      </c>
      <c r="O457" s="196">
        <f>M457-N457</f>
        <v>10.4</v>
      </c>
      <c r="U457" s="196">
        <f>0.8*2.1+1.95*2.1</f>
        <v>5.7750000000000004</v>
      </c>
      <c r="AP457" s="197">
        <f>N457*2.67-T457</f>
        <v>1.0680000000000001</v>
      </c>
      <c r="AQ457" s="197">
        <f>O457*2.4-U457</f>
        <v>19.185000000000002</v>
      </c>
    </row>
    <row r="458" spans="1:54" x14ac:dyDescent="0.2">
      <c r="A458" s="186">
        <v>168</v>
      </c>
      <c r="B458" s="171" t="s">
        <v>116</v>
      </c>
      <c r="C458" s="171" t="s">
        <v>113</v>
      </c>
      <c r="D458" s="10" t="s">
        <v>1108</v>
      </c>
      <c r="E458" s="193" t="s">
        <v>1109</v>
      </c>
      <c r="F458" s="198">
        <v>2</v>
      </c>
      <c r="G458" s="200">
        <f t="shared" si="85"/>
        <v>2.4</v>
      </c>
      <c r="H458" s="219">
        <v>2400</v>
      </c>
      <c r="I458" s="221" t="s">
        <v>57</v>
      </c>
      <c r="J458" s="10" t="s">
        <v>52</v>
      </c>
      <c r="K458" s="10" t="s">
        <v>1098</v>
      </c>
      <c r="L458" s="193"/>
      <c r="M458" s="196">
        <v>5.8</v>
      </c>
      <c r="N458" s="196">
        <f>M458</f>
        <v>5.8</v>
      </c>
      <c r="T458" s="196">
        <f>1.95*2.1</f>
        <v>4.0949999999999998</v>
      </c>
      <c r="AP458" s="197">
        <f>N458*2.67-T458</f>
        <v>11.390999999999998</v>
      </c>
      <c r="AQ458" s="197">
        <f>O458*2.4-U458</f>
        <v>0</v>
      </c>
    </row>
    <row r="459" spans="1:54" ht="45" x14ac:dyDescent="0.2">
      <c r="A459" s="186">
        <v>188</v>
      </c>
      <c r="B459" s="171" t="s">
        <v>116</v>
      </c>
      <c r="C459" s="171" t="s">
        <v>113</v>
      </c>
      <c r="D459" s="10" t="s">
        <v>1113</v>
      </c>
      <c r="E459" s="193" t="s">
        <v>1114</v>
      </c>
      <c r="F459" s="198">
        <v>3.05</v>
      </c>
      <c r="G459" s="200">
        <f t="shared" si="85"/>
        <v>2.61</v>
      </c>
      <c r="H459" s="219">
        <v>2610</v>
      </c>
      <c r="I459" s="199" t="s">
        <v>57</v>
      </c>
      <c r="J459" s="10" t="s">
        <v>52</v>
      </c>
      <c r="K459" s="10" t="s">
        <v>1112</v>
      </c>
      <c r="L459" s="193" t="s">
        <v>61</v>
      </c>
      <c r="M459" s="196">
        <v>6.9</v>
      </c>
      <c r="N459" s="196">
        <f>M459</f>
        <v>6.9</v>
      </c>
      <c r="T459" s="196">
        <f>1.6*2.6</f>
        <v>4.16</v>
      </c>
      <c r="AP459" s="197">
        <f>N459*2.67-T459</f>
        <v>14.263000000000002</v>
      </c>
      <c r="AQ459" s="197">
        <f>O459*2.4-U459</f>
        <v>0</v>
      </c>
      <c r="AY459" s="197">
        <f>P459*2.67-V459</f>
        <v>0</v>
      </c>
    </row>
    <row r="460" spans="1:54" x14ac:dyDescent="0.2">
      <c r="A460" s="186">
        <v>224</v>
      </c>
      <c r="B460" s="171" t="s">
        <v>116</v>
      </c>
      <c r="C460" s="171" t="s">
        <v>114</v>
      </c>
      <c r="D460" s="216" t="s">
        <v>304</v>
      </c>
      <c r="E460" s="193" t="s">
        <v>1125</v>
      </c>
      <c r="F460" s="194">
        <v>3.1</v>
      </c>
      <c r="G460" s="200">
        <f t="shared" si="85"/>
        <v>2.61</v>
      </c>
      <c r="H460" s="208">
        <v>2610</v>
      </c>
      <c r="I460" s="10" t="s">
        <v>1123</v>
      </c>
      <c r="J460" s="10" t="s">
        <v>52</v>
      </c>
      <c r="K460" s="10" t="s">
        <v>778</v>
      </c>
      <c r="L460" s="193"/>
      <c r="AM460" s="197">
        <f>N460*G460-T460</f>
        <v>0</v>
      </c>
      <c r="AN460" s="197">
        <f>O460*G460-U460</f>
        <v>0</v>
      </c>
      <c r="AO460" s="197">
        <f>P460*G460-V460</f>
        <v>0</v>
      </c>
      <c r="AZ460" s="197">
        <f>Q460*G460-W460</f>
        <v>0</v>
      </c>
    </row>
    <row r="461" spans="1:54" x14ac:dyDescent="0.2">
      <c r="A461" s="186">
        <v>225</v>
      </c>
      <c r="B461" s="171" t="s">
        <v>116</v>
      </c>
      <c r="C461" s="171" t="s">
        <v>114</v>
      </c>
      <c r="D461" s="216" t="s">
        <v>305</v>
      </c>
      <c r="E461" s="193" t="s">
        <v>1127</v>
      </c>
      <c r="F461" s="194">
        <v>1.5</v>
      </c>
      <c r="G461" s="200">
        <f t="shared" si="85"/>
        <v>2.61</v>
      </c>
      <c r="H461" s="208">
        <v>2610</v>
      </c>
      <c r="I461" s="10" t="s">
        <v>1123</v>
      </c>
      <c r="J461" s="10" t="s">
        <v>52</v>
      </c>
      <c r="K461" s="10" t="s">
        <v>738</v>
      </c>
      <c r="L461" s="193"/>
    </row>
    <row r="462" spans="1:54" x14ac:dyDescent="0.2">
      <c r="A462" s="171">
        <v>163</v>
      </c>
      <c r="B462" s="171" t="s">
        <v>116</v>
      </c>
      <c r="C462" s="171" t="s">
        <v>113</v>
      </c>
      <c r="D462" s="10" t="s">
        <v>1096</v>
      </c>
      <c r="E462" s="193" t="s">
        <v>1097</v>
      </c>
      <c r="F462" s="198">
        <v>11.5</v>
      </c>
      <c r="G462" s="200">
        <f t="shared" si="85"/>
        <v>2.61</v>
      </c>
      <c r="H462" s="220">
        <v>2610</v>
      </c>
      <c r="I462" s="199" t="s">
        <v>57</v>
      </c>
      <c r="J462" s="10" t="s">
        <v>51</v>
      </c>
      <c r="K462" s="10" t="s">
        <v>1098</v>
      </c>
      <c r="L462" s="193"/>
      <c r="M462" s="196">
        <v>13.6</v>
      </c>
      <c r="N462" s="196">
        <f>M462/2</f>
        <v>6.8</v>
      </c>
      <c r="O462" s="196">
        <f>M462/2</f>
        <v>6.8</v>
      </c>
      <c r="U462" s="196">
        <f>1*2.1+0.8*2.1</f>
        <v>3.7800000000000002</v>
      </c>
      <c r="AQ462" s="197">
        <f>N462*G462-T462</f>
        <v>17.747999999999998</v>
      </c>
      <c r="BB462" s="196">
        <f>M462</f>
        <v>13.6</v>
      </c>
    </row>
    <row r="463" spans="1:54" x14ac:dyDescent="0.2">
      <c r="A463" s="186">
        <v>164</v>
      </c>
      <c r="B463" s="171" t="s">
        <v>116</v>
      </c>
      <c r="C463" s="171" t="s">
        <v>113</v>
      </c>
      <c r="D463" s="10" t="s">
        <v>1099</v>
      </c>
      <c r="E463" s="193" t="s">
        <v>1100</v>
      </c>
      <c r="F463" s="198">
        <v>4.4000000000000004</v>
      </c>
      <c r="G463" s="200">
        <f t="shared" si="85"/>
        <v>2.4</v>
      </c>
      <c r="H463" s="219">
        <v>2400</v>
      </c>
      <c r="I463" s="221" t="s">
        <v>57</v>
      </c>
      <c r="J463" s="10" t="s">
        <v>51</v>
      </c>
      <c r="K463" s="10" t="s">
        <v>1101</v>
      </c>
      <c r="L463" s="193"/>
      <c r="M463" s="196">
        <v>10.8</v>
      </c>
      <c r="N463" s="196">
        <v>0.4</v>
      </c>
      <c r="O463" s="196">
        <f>M463-N463</f>
        <v>10.4</v>
      </c>
      <c r="U463" s="196">
        <f>0.8*2.1+1.95*2.1</f>
        <v>5.7750000000000004</v>
      </c>
    </row>
    <row r="464" spans="1:54" x14ac:dyDescent="0.2">
      <c r="A464" s="171">
        <v>166</v>
      </c>
      <c r="B464" s="171" t="s">
        <v>116</v>
      </c>
      <c r="C464" s="171" t="s">
        <v>113</v>
      </c>
      <c r="D464" s="10" t="s">
        <v>1104</v>
      </c>
      <c r="E464" s="193" t="s">
        <v>1105</v>
      </c>
      <c r="F464" s="198">
        <v>10.3</v>
      </c>
      <c r="G464" s="200">
        <f t="shared" si="85"/>
        <v>2.61</v>
      </c>
      <c r="H464" s="220">
        <v>2610</v>
      </c>
      <c r="I464" s="199" t="s">
        <v>57</v>
      </c>
      <c r="J464" s="10" t="s">
        <v>51</v>
      </c>
      <c r="K464" s="10" t="s">
        <v>1098</v>
      </c>
      <c r="L464" s="193"/>
      <c r="M464" s="196">
        <v>12.8</v>
      </c>
      <c r="N464" s="196">
        <v>3</v>
      </c>
      <c r="O464" s="196">
        <f>M464-N464</f>
        <v>9.8000000000000007</v>
      </c>
      <c r="U464" s="196">
        <f>0.8*2.1+1*2.1</f>
        <v>3.7800000000000002</v>
      </c>
      <c r="AP464" s="197">
        <f>N464*2.67-T464</f>
        <v>8.01</v>
      </c>
      <c r="AQ464" s="197">
        <f>O464*2.4-U464</f>
        <v>19.739999999999998</v>
      </c>
      <c r="AY464" s="197">
        <f>P464*2.67-V464</f>
        <v>0</v>
      </c>
      <c r="BB464" s="196">
        <f>M464</f>
        <v>12.8</v>
      </c>
    </row>
    <row r="465" spans="1:52" ht="45" x14ac:dyDescent="0.2">
      <c r="A465" s="171">
        <v>187</v>
      </c>
      <c r="B465" s="171" t="s">
        <v>116</v>
      </c>
      <c r="C465" s="171" t="s">
        <v>113</v>
      </c>
      <c r="D465" s="10" t="s">
        <v>1110</v>
      </c>
      <c r="E465" s="193" t="s">
        <v>1111</v>
      </c>
      <c r="F465" s="198">
        <v>2.95</v>
      </c>
      <c r="G465" s="200">
        <f t="shared" si="85"/>
        <v>2.61</v>
      </c>
      <c r="H465" s="219">
        <v>2610</v>
      </c>
      <c r="I465" s="199" t="s">
        <v>57</v>
      </c>
      <c r="J465" s="10" t="s">
        <v>51</v>
      </c>
      <c r="K465" s="10" t="s">
        <v>1112</v>
      </c>
      <c r="L465" s="193" t="s">
        <v>61</v>
      </c>
      <c r="M465" s="196">
        <v>7</v>
      </c>
      <c r="N465" s="196">
        <v>1.6</v>
      </c>
      <c r="O465" s="196">
        <f>M465-N465</f>
        <v>5.4</v>
      </c>
      <c r="U465" s="196">
        <f>0.8*2.1</f>
        <v>1.6800000000000002</v>
      </c>
      <c r="AP465" s="197">
        <f>N465*2.67-T465</f>
        <v>4.2720000000000002</v>
      </c>
      <c r="AQ465" s="197">
        <f>O465*2.4-U465</f>
        <v>11.280000000000001</v>
      </c>
    </row>
    <row r="466" spans="1:52" ht="45" x14ac:dyDescent="0.2">
      <c r="A466" s="171">
        <v>196</v>
      </c>
      <c r="B466" s="171" t="s">
        <v>116</v>
      </c>
      <c r="C466" s="171" t="s">
        <v>113</v>
      </c>
      <c r="D466" s="216" t="s">
        <v>298</v>
      </c>
      <c r="E466" s="193" t="s">
        <v>1118</v>
      </c>
      <c r="F466" s="198">
        <v>4</v>
      </c>
      <c r="G466" s="200">
        <f t="shared" si="85"/>
        <v>2.61</v>
      </c>
      <c r="H466" s="219">
        <v>2610</v>
      </c>
      <c r="I466" s="199" t="s">
        <v>57</v>
      </c>
      <c r="J466" s="10" t="s">
        <v>51</v>
      </c>
      <c r="K466" s="10" t="s">
        <v>1112</v>
      </c>
      <c r="L466" s="193" t="s">
        <v>61</v>
      </c>
      <c r="M466" s="196">
        <v>14.5</v>
      </c>
      <c r="N466" s="196">
        <f>1.3</f>
        <v>1.3</v>
      </c>
      <c r="O466" s="196">
        <f>M466-N466</f>
        <v>13.2</v>
      </c>
      <c r="U466" s="196">
        <f>0.9*2.1</f>
        <v>1.8900000000000001</v>
      </c>
      <c r="AP466" s="197">
        <f>N466*2.67-T466</f>
        <v>3.4710000000000001</v>
      </c>
      <c r="AQ466" s="197">
        <f>O466*2.4-U466</f>
        <v>29.789999999999996</v>
      </c>
    </row>
    <row r="467" spans="1:52" ht="45" x14ac:dyDescent="0.2">
      <c r="A467" s="186">
        <v>197</v>
      </c>
      <c r="B467" s="171" t="s">
        <v>116</v>
      </c>
      <c r="C467" s="171" t="s">
        <v>113</v>
      </c>
      <c r="D467" s="216" t="s">
        <v>299</v>
      </c>
      <c r="E467" s="193" t="s">
        <v>1120</v>
      </c>
      <c r="F467" s="222">
        <v>5.85</v>
      </c>
      <c r="G467" s="200">
        <f t="shared" si="85"/>
        <v>2.61</v>
      </c>
      <c r="H467" s="219">
        <v>2610</v>
      </c>
      <c r="I467" s="199" t="s">
        <v>57</v>
      </c>
      <c r="J467" s="10" t="s">
        <v>51</v>
      </c>
      <c r="K467" s="10" t="s">
        <v>1112</v>
      </c>
      <c r="L467" s="193" t="s">
        <v>61</v>
      </c>
    </row>
    <row r="468" spans="1:52" x14ac:dyDescent="0.2">
      <c r="A468" s="171">
        <v>253</v>
      </c>
      <c r="B468" s="171" t="s">
        <v>116</v>
      </c>
      <c r="C468" s="171" t="s">
        <v>117</v>
      </c>
      <c r="D468" s="216" t="s">
        <v>310</v>
      </c>
      <c r="E468" s="193" t="s">
        <v>1172</v>
      </c>
      <c r="F468" s="194">
        <v>25.2</v>
      </c>
      <c r="G468" s="194"/>
      <c r="H468" s="208">
        <v>3050</v>
      </c>
      <c r="I468" s="10" t="s">
        <v>1168</v>
      </c>
      <c r="J468" s="10" t="s">
        <v>81</v>
      </c>
      <c r="K468" s="10" t="s">
        <v>1017</v>
      </c>
      <c r="L468" s="10"/>
      <c r="AP468" s="197">
        <f>N468*2.67-T468</f>
        <v>0</v>
      </c>
      <c r="AQ468" s="197">
        <f>O468*2.4-U468</f>
        <v>0</v>
      </c>
      <c r="AY468" s="197">
        <f>P468*2.67-V468</f>
        <v>0</v>
      </c>
    </row>
    <row r="469" spans="1:52" x14ac:dyDescent="0.2">
      <c r="A469" s="186">
        <v>155</v>
      </c>
      <c r="B469" s="171" t="s">
        <v>116</v>
      </c>
      <c r="C469" s="171" t="s">
        <v>113</v>
      </c>
      <c r="D469" s="10" t="s">
        <v>1210</v>
      </c>
      <c r="E469" s="193" t="s">
        <v>1211</v>
      </c>
      <c r="F469" s="222">
        <v>2.1</v>
      </c>
      <c r="G469" s="200">
        <f t="shared" ref="G469:G479" si="86">H469/1000</f>
        <v>2.4</v>
      </c>
      <c r="H469" s="219">
        <v>2400</v>
      </c>
      <c r="I469" s="10" t="s">
        <v>642</v>
      </c>
      <c r="J469" s="10" t="s">
        <v>52</v>
      </c>
      <c r="K469" s="10" t="s">
        <v>1098</v>
      </c>
      <c r="L469" s="193"/>
      <c r="M469" s="196">
        <v>5.8</v>
      </c>
      <c r="N469" s="196">
        <f>M469</f>
        <v>5.8</v>
      </c>
      <c r="T469" s="196">
        <f>0.85*2.1+1.51*2.1</f>
        <v>4.9560000000000004</v>
      </c>
      <c r="AM469" s="197">
        <f>N469*G469-T469</f>
        <v>8.9639999999999986</v>
      </c>
      <c r="AN469" s="197">
        <f>O469*G469-U469</f>
        <v>0</v>
      </c>
      <c r="AP469" s="197">
        <f>P469*G469-V469</f>
        <v>0</v>
      </c>
      <c r="AQ469" s="197">
        <f>Q469*G469-W469</f>
        <v>0</v>
      </c>
      <c r="AZ469" s="197">
        <f>R469*G469-X469</f>
        <v>0</v>
      </c>
    </row>
    <row r="470" spans="1:52" x14ac:dyDescent="0.2">
      <c r="A470" s="186">
        <v>156</v>
      </c>
      <c r="B470" s="171" t="s">
        <v>116</v>
      </c>
      <c r="C470" s="171" t="s">
        <v>113</v>
      </c>
      <c r="D470" s="10" t="s">
        <v>1212</v>
      </c>
      <c r="E470" s="193" t="s">
        <v>1213</v>
      </c>
      <c r="F470" s="222">
        <v>1.5</v>
      </c>
      <c r="G470" s="200">
        <f t="shared" si="86"/>
        <v>2.4</v>
      </c>
      <c r="H470" s="219">
        <v>2400</v>
      </c>
      <c r="I470" s="10" t="s">
        <v>642</v>
      </c>
      <c r="J470" s="10" t="s">
        <v>52</v>
      </c>
      <c r="K470" s="10" t="s">
        <v>1098</v>
      </c>
      <c r="L470" s="193"/>
      <c r="M470" s="196">
        <v>4.8499999999999996</v>
      </c>
      <c r="N470" s="196">
        <f>M470</f>
        <v>4.8499999999999996</v>
      </c>
      <c r="T470" s="196">
        <f>1.51*2.1</f>
        <v>3.1710000000000003</v>
      </c>
    </row>
    <row r="471" spans="1:52" x14ac:dyDescent="0.2">
      <c r="A471" s="171">
        <v>157</v>
      </c>
      <c r="B471" s="171" t="s">
        <v>116</v>
      </c>
      <c r="C471" s="171" t="s">
        <v>113</v>
      </c>
      <c r="D471" s="10" t="s">
        <v>1214</v>
      </c>
      <c r="E471" s="193" t="s">
        <v>1215</v>
      </c>
      <c r="F471" s="198">
        <v>2.1</v>
      </c>
      <c r="G471" s="200">
        <f t="shared" si="86"/>
        <v>2.4</v>
      </c>
      <c r="H471" s="219">
        <v>2400</v>
      </c>
      <c r="I471" s="10" t="s">
        <v>1216</v>
      </c>
      <c r="J471" s="10" t="s">
        <v>52</v>
      </c>
      <c r="K471" s="10" t="s">
        <v>1098</v>
      </c>
      <c r="L471" s="193"/>
      <c r="M471" s="196">
        <v>5.8</v>
      </c>
      <c r="N471" s="196">
        <f>M471</f>
        <v>5.8</v>
      </c>
      <c r="T471" s="196">
        <f>0.85*2.1+1.51*2.1</f>
        <v>4.9560000000000004</v>
      </c>
    </row>
    <row r="472" spans="1:52" x14ac:dyDescent="0.2">
      <c r="A472" s="186">
        <v>158</v>
      </c>
      <c r="B472" s="171" t="s">
        <v>116</v>
      </c>
      <c r="C472" s="171" t="s">
        <v>113</v>
      </c>
      <c r="D472" s="10" t="s">
        <v>1217</v>
      </c>
      <c r="E472" s="225" t="s">
        <v>53</v>
      </c>
      <c r="F472" s="198">
        <v>1.45</v>
      </c>
      <c r="G472" s="200">
        <f t="shared" si="86"/>
        <v>2.4</v>
      </c>
      <c r="H472" s="219">
        <v>2400</v>
      </c>
      <c r="I472" s="10" t="s">
        <v>1216</v>
      </c>
      <c r="J472" s="10" t="s">
        <v>52</v>
      </c>
      <c r="K472" s="10" t="s">
        <v>1098</v>
      </c>
      <c r="L472" s="193"/>
      <c r="M472" s="196">
        <v>4.8499999999999996</v>
      </c>
      <c r="N472" s="196">
        <f>M472</f>
        <v>4.8499999999999996</v>
      </c>
      <c r="T472" s="196">
        <f>1.51*2.1</f>
        <v>3.1710000000000003</v>
      </c>
      <c r="AP472" s="197">
        <f>N472*G472-T472</f>
        <v>8.4689999999999976</v>
      </c>
      <c r="AQ472" s="197">
        <f>O472*G472-U472</f>
        <v>0</v>
      </c>
      <c r="AT472" s="197">
        <f>P472*G472-V472</f>
        <v>0</v>
      </c>
    </row>
    <row r="473" spans="1:52" ht="45" x14ac:dyDescent="0.2">
      <c r="A473" s="186">
        <v>173</v>
      </c>
      <c r="B473" s="171" t="s">
        <v>116</v>
      </c>
      <c r="C473" s="171" t="s">
        <v>113</v>
      </c>
      <c r="D473" s="216" t="s">
        <v>286</v>
      </c>
      <c r="E473" s="193" t="s">
        <v>1219</v>
      </c>
      <c r="F473" s="217">
        <v>11.6</v>
      </c>
      <c r="G473" s="200">
        <f t="shared" si="86"/>
        <v>2.61</v>
      </c>
      <c r="H473" s="219">
        <v>2610</v>
      </c>
      <c r="I473" s="10" t="s">
        <v>1216</v>
      </c>
      <c r="J473" s="10" t="s">
        <v>51</v>
      </c>
      <c r="K473" s="10" t="s">
        <v>1220</v>
      </c>
      <c r="L473" s="193" t="s">
        <v>61</v>
      </c>
      <c r="AP473" s="197">
        <f>N473*G473-T473</f>
        <v>0</v>
      </c>
      <c r="AQ473" s="197">
        <f>O473*G473-U473</f>
        <v>0</v>
      </c>
    </row>
    <row r="474" spans="1:52" ht="45" x14ac:dyDescent="0.2">
      <c r="A474" s="186">
        <v>174</v>
      </c>
      <c r="B474" s="171" t="s">
        <v>116</v>
      </c>
      <c r="C474" s="171" t="s">
        <v>113</v>
      </c>
      <c r="D474" s="10" t="s">
        <v>1221</v>
      </c>
      <c r="E474" s="193" t="s">
        <v>1222</v>
      </c>
      <c r="F474" s="217">
        <v>17.649999999999999</v>
      </c>
      <c r="G474" s="200">
        <f t="shared" si="86"/>
        <v>2.61</v>
      </c>
      <c r="H474" s="219">
        <v>2610</v>
      </c>
      <c r="I474" s="10" t="s">
        <v>1216</v>
      </c>
      <c r="J474" s="10" t="s">
        <v>51</v>
      </c>
      <c r="K474" s="10" t="s">
        <v>1098</v>
      </c>
      <c r="L474" s="193" t="s">
        <v>61</v>
      </c>
      <c r="M474" s="196">
        <v>17</v>
      </c>
      <c r="N474" s="196">
        <f>M474/2</f>
        <v>8.5</v>
      </c>
      <c r="O474" s="196">
        <f>M474/2</f>
        <v>8.5</v>
      </c>
      <c r="U474" s="196">
        <f>1*2.1</f>
        <v>2.1</v>
      </c>
      <c r="AP474" s="197">
        <f>N474*G474-T474</f>
        <v>22.184999999999999</v>
      </c>
      <c r="AQ474" s="197">
        <f>O474*G474-U474</f>
        <v>20.084999999999997</v>
      </c>
    </row>
    <row r="475" spans="1:52" ht="45" x14ac:dyDescent="0.2">
      <c r="A475" s="186">
        <v>177</v>
      </c>
      <c r="B475" s="171" t="s">
        <v>116</v>
      </c>
      <c r="C475" s="171" t="s">
        <v>113</v>
      </c>
      <c r="D475" s="10" t="s">
        <v>1223</v>
      </c>
      <c r="E475" s="193" t="s">
        <v>1224</v>
      </c>
      <c r="F475" s="198">
        <v>25.3</v>
      </c>
      <c r="G475" s="200">
        <f t="shared" si="86"/>
        <v>2.61</v>
      </c>
      <c r="H475" s="220">
        <v>2610</v>
      </c>
      <c r="I475" s="10" t="s">
        <v>1216</v>
      </c>
      <c r="J475" s="10" t="s">
        <v>51</v>
      </c>
      <c r="K475" s="10" t="s">
        <v>1098</v>
      </c>
      <c r="L475" s="193" t="s">
        <v>61</v>
      </c>
      <c r="M475" s="196">
        <f>21.1-2.15+0.4*2</f>
        <v>19.750000000000004</v>
      </c>
      <c r="N475" s="196">
        <f>6.7+0.4*2</f>
        <v>7.5</v>
      </c>
      <c r="O475" s="196">
        <f>M475-N475</f>
        <v>12.250000000000004</v>
      </c>
      <c r="U475" s="196">
        <f>0.9*2.1</f>
        <v>1.8900000000000001</v>
      </c>
      <c r="AP475" s="197">
        <f>N475*G475-T475</f>
        <v>19.574999999999999</v>
      </c>
      <c r="AQ475" s="197">
        <f>O475*G475-U475</f>
        <v>30.082500000000007</v>
      </c>
    </row>
    <row r="476" spans="1:52" ht="45" x14ac:dyDescent="0.2">
      <c r="A476" s="171">
        <v>178</v>
      </c>
      <c r="B476" s="171" t="s">
        <v>116</v>
      </c>
      <c r="C476" s="171" t="s">
        <v>113</v>
      </c>
      <c r="D476" s="10" t="s">
        <v>1225</v>
      </c>
      <c r="E476" s="193" t="s">
        <v>1226</v>
      </c>
      <c r="F476" s="217">
        <v>17.95</v>
      </c>
      <c r="G476" s="200">
        <f t="shared" si="86"/>
        <v>2.61</v>
      </c>
      <c r="H476" s="220">
        <v>2610</v>
      </c>
      <c r="I476" s="10" t="s">
        <v>1216</v>
      </c>
      <c r="J476" s="10" t="s">
        <v>51</v>
      </c>
      <c r="K476" s="10" t="s">
        <v>1112</v>
      </c>
      <c r="L476" s="193" t="s">
        <v>61</v>
      </c>
      <c r="M476" s="196">
        <f>20.7-0.95</f>
        <v>19.75</v>
      </c>
      <c r="N476" s="196">
        <f>2.5+6.15+0.4*2</f>
        <v>9.4500000000000011</v>
      </c>
      <c r="O476" s="196">
        <f>M476-N476</f>
        <v>10.299999999999999</v>
      </c>
      <c r="U476" s="196">
        <f>0.9*2.1</f>
        <v>1.8900000000000001</v>
      </c>
    </row>
    <row r="477" spans="1:52" ht="45" x14ac:dyDescent="0.2">
      <c r="A477" s="171">
        <v>190</v>
      </c>
      <c r="B477" s="171" t="s">
        <v>116</v>
      </c>
      <c r="C477" s="171" t="s">
        <v>113</v>
      </c>
      <c r="D477" s="216" t="s">
        <v>295</v>
      </c>
      <c r="E477" s="193" t="s">
        <v>1228</v>
      </c>
      <c r="F477" s="198">
        <v>9.4</v>
      </c>
      <c r="G477" s="200">
        <f t="shared" si="86"/>
        <v>2.61</v>
      </c>
      <c r="H477" s="220">
        <v>2610</v>
      </c>
      <c r="I477" s="10" t="s">
        <v>642</v>
      </c>
      <c r="J477" s="10" t="s">
        <v>51</v>
      </c>
      <c r="K477" s="10" t="s">
        <v>1112</v>
      </c>
      <c r="L477" s="193" t="s">
        <v>61</v>
      </c>
      <c r="M477" s="196">
        <f>36.3+0.95*4</f>
        <v>40.099999999999994</v>
      </c>
      <c r="N477" s="196">
        <f>0.4+0.15+0.6+0.6</f>
        <v>1.75</v>
      </c>
      <c r="O477" s="196">
        <f>M477-N477</f>
        <v>38.349999999999994</v>
      </c>
      <c r="U477" s="196">
        <f>0.8*2.1+1.2*2.1+1*2.1</f>
        <v>6.3000000000000007</v>
      </c>
    </row>
    <row r="478" spans="1:52" ht="45" x14ac:dyDescent="0.2">
      <c r="A478" s="186">
        <v>191</v>
      </c>
      <c r="B478" s="171" t="s">
        <v>116</v>
      </c>
      <c r="C478" s="171" t="s">
        <v>113</v>
      </c>
      <c r="D478" s="216" t="s">
        <v>284</v>
      </c>
      <c r="E478" s="193" t="s">
        <v>1230</v>
      </c>
      <c r="F478" s="217">
        <v>16</v>
      </c>
      <c r="G478" s="200">
        <f t="shared" si="86"/>
        <v>2.61</v>
      </c>
      <c r="H478" s="219">
        <v>2610</v>
      </c>
      <c r="I478" s="10" t="s">
        <v>642</v>
      </c>
      <c r="J478" s="10" t="s">
        <v>51</v>
      </c>
      <c r="K478" s="10" t="s">
        <v>1112</v>
      </c>
      <c r="L478" s="193" t="s">
        <v>61</v>
      </c>
    </row>
    <row r="479" spans="1:52" ht="45" x14ac:dyDescent="0.2">
      <c r="A479" s="186">
        <v>192</v>
      </c>
      <c r="B479" s="171" t="s">
        <v>116</v>
      </c>
      <c r="C479" s="171" t="s">
        <v>113</v>
      </c>
      <c r="D479" s="216" t="s">
        <v>296</v>
      </c>
      <c r="E479" s="193" t="s">
        <v>1232</v>
      </c>
      <c r="F479" s="222">
        <v>30.3</v>
      </c>
      <c r="G479" s="200">
        <f t="shared" si="86"/>
        <v>2.61</v>
      </c>
      <c r="H479" s="220">
        <v>2610</v>
      </c>
      <c r="I479" s="10" t="s">
        <v>642</v>
      </c>
      <c r="J479" s="10" t="s">
        <v>51</v>
      </c>
      <c r="K479" s="10" t="s">
        <v>1233</v>
      </c>
      <c r="L479" s="193" t="s">
        <v>61</v>
      </c>
      <c r="AP479" s="197">
        <f t="shared" ref="AP479:AP487" si="87">N479*2.67-T479</f>
        <v>0</v>
      </c>
      <c r="AQ479" s="197">
        <f t="shared" ref="AQ479:AQ487" si="88">O479*2.4-U479</f>
        <v>0</v>
      </c>
    </row>
    <row r="480" spans="1:52" ht="30" x14ac:dyDescent="0.2">
      <c r="A480" s="171">
        <v>241</v>
      </c>
      <c r="B480" s="171" t="s">
        <v>116</v>
      </c>
      <c r="C480" s="171" t="s">
        <v>117</v>
      </c>
      <c r="D480" s="10" t="s">
        <v>1234</v>
      </c>
      <c r="E480" s="193" t="s">
        <v>1235</v>
      </c>
      <c r="F480" s="194">
        <v>34.6</v>
      </c>
      <c r="G480" s="194"/>
      <c r="H480" s="195" t="s">
        <v>9</v>
      </c>
      <c r="I480" s="10" t="s">
        <v>1236</v>
      </c>
      <c r="J480" s="10" t="s">
        <v>75</v>
      </c>
      <c r="K480" s="201"/>
      <c r="L480" s="201"/>
      <c r="AP480" s="197">
        <f t="shared" si="87"/>
        <v>0</v>
      </c>
      <c r="AQ480" s="197">
        <f t="shared" si="88"/>
        <v>0</v>
      </c>
      <c r="AY480" s="197">
        <f>P480*2.67-V480</f>
        <v>0</v>
      </c>
    </row>
    <row r="481" spans="1:52" ht="30" x14ac:dyDescent="0.2">
      <c r="A481" s="186">
        <v>242</v>
      </c>
      <c r="B481" s="171" t="s">
        <v>116</v>
      </c>
      <c r="C481" s="171" t="s">
        <v>117</v>
      </c>
      <c r="D481" s="10" t="s">
        <v>1237</v>
      </c>
      <c r="E481" s="193" t="s">
        <v>1235</v>
      </c>
      <c r="F481" s="194">
        <v>86.85</v>
      </c>
      <c r="G481" s="194"/>
      <c r="H481" s="195" t="s">
        <v>9</v>
      </c>
      <c r="I481" s="10" t="s">
        <v>1236</v>
      </c>
      <c r="J481" s="10" t="s">
        <v>76</v>
      </c>
      <c r="K481" s="201"/>
      <c r="L481" s="201"/>
      <c r="AP481" s="197">
        <f t="shared" si="87"/>
        <v>0</v>
      </c>
      <c r="AQ481" s="197">
        <f t="shared" si="88"/>
        <v>0</v>
      </c>
    </row>
    <row r="482" spans="1:52" ht="45" x14ac:dyDescent="0.2">
      <c r="A482" s="186">
        <v>402</v>
      </c>
      <c r="B482" s="171" t="s">
        <v>119</v>
      </c>
      <c r="C482" s="171" t="s">
        <v>112</v>
      </c>
      <c r="D482" s="10" t="s">
        <v>460</v>
      </c>
      <c r="E482" s="193" t="s">
        <v>1239</v>
      </c>
      <c r="F482" s="194">
        <v>27</v>
      </c>
      <c r="G482" s="194"/>
      <c r="H482" s="208">
        <v>2910</v>
      </c>
      <c r="I482" s="10" t="s">
        <v>1240</v>
      </c>
      <c r="J482" s="10" t="s">
        <v>92</v>
      </c>
      <c r="K482" s="10" t="s">
        <v>671</v>
      </c>
      <c r="L482" s="193" t="s">
        <v>105</v>
      </c>
      <c r="AP482" s="197">
        <f t="shared" si="87"/>
        <v>0</v>
      </c>
      <c r="AQ482" s="197">
        <f t="shared" si="88"/>
        <v>0</v>
      </c>
    </row>
    <row r="483" spans="1:52" ht="45" x14ac:dyDescent="0.2">
      <c r="A483" s="186">
        <v>441</v>
      </c>
      <c r="B483" s="171" t="s">
        <v>119</v>
      </c>
      <c r="C483" s="171" t="s">
        <v>113</v>
      </c>
      <c r="D483" s="10" t="s">
        <v>461</v>
      </c>
      <c r="E483" s="193" t="s">
        <v>1242</v>
      </c>
      <c r="F483" s="200">
        <v>27.8</v>
      </c>
      <c r="G483" s="200"/>
      <c r="H483" s="203">
        <v>2910</v>
      </c>
      <c r="I483" s="10" t="s">
        <v>1243</v>
      </c>
      <c r="J483" s="10" t="s">
        <v>92</v>
      </c>
      <c r="K483" s="10" t="s">
        <v>677</v>
      </c>
      <c r="L483" s="193" t="s">
        <v>107</v>
      </c>
      <c r="AP483" s="197">
        <f t="shared" si="87"/>
        <v>0</v>
      </c>
      <c r="AQ483" s="197">
        <f t="shared" si="88"/>
        <v>0</v>
      </c>
      <c r="AY483" s="197">
        <f>P483*2.67-V483</f>
        <v>0</v>
      </c>
    </row>
    <row r="484" spans="1:52" ht="45" x14ac:dyDescent="0.2">
      <c r="A484" s="186">
        <v>522</v>
      </c>
      <c r="B484" s="171" t="s">
        <v>120</v>
      </c>
      <c r="C484" s="171" t="s">
        <v>112</v>
      </c>
      <c r="D484" s="10" t="s">
        <v>463</v>
      </c>
      <c r="E484" s="193" t="s">
        <v>1242</v>
      </c>
      <c r="F484" s="202">
        <v>27</v>
      </c>
      <c r="G484" s="202"/>
      <c r="H484" s="203">
        <v>2910</v>
      </c>
      <c r="I484" s="226" t="s">
        <v>110</v>
      </c>
      <c r="J484" s="10" t="s">
        <v>92</v>
      </c>
      <c r="K484" s="10" t="s">
        <v>677</v>
      </c>
      <c r="L484" s="212" t="s">
        <v>107</v>
      </c>
      <c r="AP484" s="197">
        <f t="shared" si="87"/>
        <v>0</v>
      </c>
      <c r="AQ484" s="197">
        <f t="shared" si="88"/>
        <v>0</v>
      </c>
    </row>
    <row r="485" spans="1:52" ht="45" x14ac:dyDescent="0.2">
      <c r="A485" s="186">
        <v>561</v>
      </c>
      <c r="B485" s="171" t="s">
        <v>120</v>
      </c>
      <c r="C485" s="171" t="s">
        <v>113</v>
      </c>
      <c r="D485" s="10" t="s">
        <v>464</v>
      </c>
      <c r="E485" s="193" t="s">
        <v>1242</v>
      </c>
      <c r="F485" s="202">
        <v>27.15</v>
      </c>
      <c r="G485" s="202"/>
      <c r="H485" s="203">
        <v>2910</v>
      </c>
      <c r="I485" s="10" t="s">
        <v>1246</v>
      </c>
      <c r="J485" s="10" t="s">
        <v>92</v>
      </c>
      <c r="K485" s="10" t="s">
        <v>677</v>
      </c>
      <c r="L485" s="193" t="s">
        <v>107</v>
      </c>
      <c r="AP485" s="197">
        <f t="shared" si="87"/>
        <v>0</v>
      </c>
      <c r="AQ485" s="197">
        <f t="shared" si="88"/>
        <v>0</v>
      </c>
      <c r="AY485" s="197">
        <f>P485*2.67-V485</f>
        <v>0</v>
      </c>
    </row>
    <row r="486" spans="1:52" ht="45" x14ac:dyDescent="0.2">
      <c r="A486" s="186">
        <v>600</v>
      </c>
      <c r="B486" s="171" t="s">
        <v>120</v>
      </c>
      <c r="C486" s="171" t="s">
        <v>114</v>
      </c>
      <c r="D486" s="10" t="s">
        <v>465</v>
      </c>
      <c r="E486" s="193" t="s">
        <v>1242</v>
      </c>
      <c r="F486" s="202">
        <v>27.15</v>
      </c>
      <c r="G486" s="202"/>
      <c r="H486" s="203">
        <v>2910</v>
      </c>
      <c r="I486" s="226" t="s">
        <v>110</v>
      </c>
      <c r="J486" s="10" t="s">
        <v>92</v>
      </c>
      <c r="K486" s="10" t="s">
        <v>1248</v>
      </c>
      <c r="L486" s="193" t="s">
        <v>107</v>
      </c>
      <c r="AP486" s="197">
        <f t="shared" si="87"/>
        <v>0</v>
      </c>
      <c r="AQ486" s="197">
        <f t="shared" si="88"/>
        <v>0</v>
      </c>
      <c r="AY486" s="197">
        <f>P486*2.67-V486</f>
        <v>0</v>
      </c>
    </row>
    <row r="487" spans="1:52" ht="75" x14ac:dyDescent="0.2">
      <c r="A487" s="186">
        <v>333</v>
      </c>
      <c r="B487" s="171" t="s">
        <v>118</v>
      </c>
      <c r="C487" s="171" t="s">
        <v>113</v>
      </c>
      <c r="D487" s="10" t="s">
        <v>459</v>
      </c>
      <c r="E487" s="193" t="s">
        <v>1242</v>
      </c>
      <c r="F487" s="202">
        <v>28.4</v>
      </c>
      <c r="G487" s="202"/>
      <c r="H487" s="203">
        <v>2910</v>
      </c>
      <c r="I487" s="226" t="s">
        <v>99</v>
      </c>
      <c r="J487" s="10" t="s">
        <v>92</v>
      </c>
      <c r="K487" s="10" t="s">
        <v>677</v>
      </c>
      <c r="L487" s="212" t="s">
        <v>100</v>
      </c>
      <c r="AP487" s="197">
        <f t="shared" si="87"/>
        <v>0</v>
      </c>
      <c r="AQ487" s="197">
        <f t="shared" si="88"/>
        <v>0</v>
      </c>
      <c r="AY487" s="197">
        <f>P487*2.67-V487</f>
        <v>0</v>
      </c>
    </row>
    <row r="488" spans="1:52" ht="45" x14ac:dyDescent="0.2">
      <c r="A488" s="186">
        <v>294</v>
      </c>
      <c r="B488" s="171" t="s">
        <v>118</v>
      </c>
      <c r="C488" s="171" t="s">
        <v>112</v>
      </c>
      <c r="D488" s="10" t="s">
        <v>458</v>
      </c>
      <c r="E488" s="193" t="s">
        <v>1242</v>
      </c>
      <c r="F488" s="202">
        <v>27.6</v>
      </c>
      <c r="G488" s="202"/>
      <c r="H488" s="203">
        <v>2910</v>
      </c>
      <c r="I488" s="226" t="s">
        <v>93</v>
      </c>
      <c r="J488" s="10" t="s">
        <v>92</v>
      </c>
      <c r="K488" s="10" t="s">
        <v>677</v>
      </c>
      <c r="L488" s="193"/>
    </row>
    <row r="489" spans="1:52" x14ac:dyDescent="0.2">
      <c r="A489" s="186">
        <v>401</v>
      </c>
      <c r="B489" s="171" t="s">
        <v>119</v>
      </c>
      <c r="C489" s="171" t="s">
        <v>112</v>
      </c>
      <c r="D489" s="10" t="s">
        <v>435</v>
      </c>
      <c r="E489" s="193" t="s">
        <v>669</v>
      </c>
      <c r="F489" s="194">
        <v>21.5</v>
      </c>
      <c r="G489" s="194"/>
      <c r="H489" s="208">
        <v>2910</v>
      </c>
      <c r="I489" s="10" t="s">
        <v>1252</v>
      </c>
      <c r="J489" s="10" t="s">
        <v>92</v>
      </c>
      <c r="K489" s="10" t="s">
        <v>671</v>
      </c>
      <c r="L489" s="193"/>
    </row>
    <row r="490" spans="1:52" x14ac:dyDescent="0.2">
      <c r="A490" s="186">
        <v>440</v>
      </c>
      <c r="B490" s="171" t="s">
        <v>119</v>
      </c>
      <c r="C490" s="171" t="s">
        <v>113</v>
      </c>
      <c r="D490" s="10" t="s">
        <v>436</v>
      </c>
      <c r="E490" s="193" t="s">
        <v>1254</v>
      </c>
      <c r="F490" s="200">
        <v>22.45</v>
      </c>
      <c r="G490" s="200"/>
      <c r="H490" s="203">
        <v>2910</v>
      </c>
      <c r="I490" s="10" t="s">
        <v>1255</v>
      </c>
      <c r="J490" s="10" t="s">
        <v>92</v>
      </c>
      <c r="K490" s="10" t="s">
        <v>677</v>
      </c>
      <c r="L490" s="193"/>
      <c r="AM490" s="197">
        <f>N490*G490-T490</f>
        <v>0</v>
      </c>
      <c r="AN490" s="197">
        <f>O490*G490-U490</f>
        <v>0</v>
      </c>
      <c r="AO490" s="197">
        <f>P490*G490-V490</f>
        <v>0</v>
      </c>
      <c r="AZ490" s="197">
        <f>Q490*G490-W490</f>
        <v>0</v>
      </c>
    </row>
    <row r="491" spans="1:52" x14ac:dyDescent="0.2">
      <c r="A491" s="186">
        <v>480</v>
      </c>
      <c r="B491" s="171" t="s">
        <v>119</v>
      </c>
      <c r="C491" s="171" t="s">
        <v>114</v>
      </c>
      <c r="D491" s="10" t="s">
        <v>437</v>
      </c>
      <c r="E491" s="193" t="s">
        <v>1254</v>
      </c>
      <c r="F491" s="202">
        <v>21.5</v>
      </c>
      <c r="G491" s="202"/>
      <c r="H491" s="203">
        <v>2910</v>
      </c>
      <c r="I491" s="10" t="s">
        <v>1255</v>
      </c>
      <c r="J491" s="10" t="s">
        <v>92</v>
      </c>
      <c r="K491" s="10" t="s">
        <v>677</v>
      </c>
      <c r="L491" s="193"/>
    </row>
    <row r="492" spans="1:52" x14ac:dyDescent="0.2">
      <c r="A492" s="186">
        <v>521</v>
      </c>
      <c r="B492" s="171" t="s">
        <v>120</v>
      </c>
      <c r="C492" s="171" t="s">
        <v>112</v>
      </c>
      <c r="D492" s="10" t="s">
        <v>438</v>
      </c>
      <c r="E492" s="193" t="s">
        <v>1254</v>
      </c>
      <c r="F492" s="202">
        <v>21.5</v>
      </c>
      <c r="G492" s="202"/>
      <c r="H492" s="203">
        <v>2910</v>
      </c>
      <c r="I492" s="10" t="s">
        <v>1255</v>
      </c>
      <c r="J492" s="10" t="s">
        <v>92</v>
      </c>
      <c r="K492" s="10" t="s">
        <v>677</v>
      </c>
      <c r="L492" s="212"/>
    </row>
    <row r="493" spans="1:52" x14ac:dyDescent="0.2">
      <c r="A493" s="186">
        <v>560</v>
      </c>
      <c r="B493" s="171" t="s">
        <v>120</v>
      </c>
      <c r="C493" s="171" t="s">
        <v>113</v>
      </c>
      <c r="D493" s="10" t="s">
        <v>439</v>
      </c>
      <c r="E493" s="193" t="s">
        <v>1254</v>
      </c>
      <c r="F493" s="202">
        <v>22.45</v>
      </c>
      <c r="G493" s="202"/>
      <c r="H493" s="203">
        <v>2910</v>
      </c>
      <c r="I493" s="10" t="s">
        <v>1255</v>
      </c>
      <c r="J493" s="10" t="s">
        <v>92</v>
      </c>
      <c r="K493" s="10" t="s">
        <v>677</v>
      </c>
      <c r="L493" s="193"/>
      <c r="AO493" s="171"/>
    </row>
    <row r="494" spans="1:52" x14ac:dyDescent="0.2">
      <c r="A494" s="186">
        <v>599</v>
      </c>
      <c r="B494" s="171" t="s">
        <v>120</v>
      </c>
      <c r="C494" s="171" t="s">
        <v>114</v>
      </c>
      <c r="D494" s="10" t="s">
        <v>440</v>
      </c>
      <c r="E494" s="193" t="s">
        <v>1254</v>
      </c>
      <c r="F494" s="202">
        <v>21.5</v>
      </c>
      <c r="G494" s="202"/>
      <c r="H494" s="203">
        <v>2910</v>
      </c>
      <c r="I494" s="10" t="s">
        <v>1255</v>
      </c>
      <c r="J494" s="10" t="s">
        <v>92</v>
      </c>
      <c r="K494" s="10" t="s">
        <v>677</v>
      </c>
      <c r="L494" s="193"/>
    </row>
    <row r="495" spans="1:52" x14ac:dyDescent="0.2">
      <c r="A495" s="186">
        <v>243</v>
      </c>
      <c r="B495" s="171" t="s">
        <v>116</v>
      </c>
      <c r="C495" s="171" t="s">
        <v>117</v>
      </c>
      <c r="D495" s="10" t="s">
        <v>1260</v>
      </c>
      <c r="E495" s="193" t="s">
        <v>1261</v>
      </c>
      <c r="F495" s="194">
        <v>49</v>
      </c>
      <c r="G495" s="194"/>
      <c r="H495" s="195" t="s">
        <v>9</v>
      </c>
      <c r="I495" s="10" t="s">
        <v>1262</v>
      </c>
      <c r="J495" s="10" t="s">
        <v>75</v>
      </c>
      <c r="K495" s="201"/>
      <c r="L495" s="201"/>
    </row>
    <row r="496" spans="1:52" x14ac:dyDescent="0.2">
      <c r="A496" s="186">
        <v>293</v>
      </c>
      <c r="B496" s="171" t="s">
        <v>118</v>
      </c>
      <c r="C496" s="171" t="s">
        <v>112</v>
      </c>
      <c r="D496" s="10" t="s">
        <v>432</v>
      </c>
      <c r="E496" s="193" t="s">
        <v>1254</v>
      </c>
      <c r="F496" s="204">
        <v>47.7</v>
      </c>
      <c r="G496" s="204"/>
      <c r="H496" s="211">
        <v>2910</v>
      </c>
      <c r="I496" s="10" t="s">
        <v>1264</v>
      </c>
      <c r="J496" s="10" t="s">
        <v>92</v>
      </c>
      <c r="K496" s="10" t="s">
        <v>677</v>
      </c>
      <c r="L496" s="193"/>
      <c r="AL496" s="197">
        <f>N496*G496-T496</f>
        <v>0</v>
      </c>
      <c r="AN496" s="197">
        <f>O496*G496-U496</f>
        <v>0</v>
      </c>
      <c r="AO496" s="197">
        <f>P496*G496-V496</f>
        <v>0</v>
      </c>
      <c r="AZ496" s="197">
        <f>Q496*G496-W496</f>
        <v>0</v>
      </c>
    </row>
    <row r="497" spans="1:52" x14ac:dyDescent="0.2">
      <c r="A497" s="186">
        <v>332</v>
      </c>
      <c r="B497" s="171" t="s">
        <v>118</v>
      </c>
      <c r="C497" s="171" t="s">
        <v>113</v>
      </c>
      <c r="D497" s="10" t="s">
        <v>433</v>
      </c>
      <c r="E497" s="193" t="s">
        <v>1254</v>
      </c>
      <c r="F497" s="204">
        <v>49.85</v>
      </c>
      <c r="G497" s="204"/>
      <c r="H497" s="203">
        <v>2910</v>
      </c>
      <c r="I497" s="10" t="s">
        <v>1266</v>
      </c>
      <c r="J497" s="10" t="s">
        <v>92</v>
      </c>
      <c r="K497" s="10" t="s">
        <v>677</v>
      </c>
      <c r="L497" s="212"/>
      <c r="AH497" s="197">
        <f>N497*G497-T497</f>
        <v>0</v>
      </c>
      <c r="AP497" s="197">
        <f>O497*G497-U497</f>
        <v>0</v>
      </c>
      <c r="AR497" s="197">
        <f>P497*G497-V497</f>
        <v>0</v>
      </c>
    </row>
    <row r="498" spans="1:52" ht="45" x14ac:dyDescent="0.2">
      <c r="A498" s="171">
        <v>481</v>
      </c>
      <c r="B498" s="171" t="s">
        <v>119</v>
      </c>
      <c r="C498" s="171" t="s">
        <v>114</v>
      </c>
      <c r="D498" s="10" t="s">
        <v>462</v>
      </c>
      <c r="E498" s="193" t="s">
        <v>1242</v>
      </c>
      <c r="F498" s="202">
        <v>28.45</v>
      </c>
      <c r="G498" s="202"/>
      <c r="H498" s="203">
        <v>2910</v>
      </c>
      <c r="I498" s="10" t="s">
        <v>1268</v>
      </c>
      <c r="J498" s="10" t="s">
        <v>92</v>
      </c>
      <c r="K498" s="10" t="s">
        <v>677</v>
      </c>
      <c r="L498" s="193"/>
      <c r="AL498" s="197">
        <f>N498*G498-T498</f>
        <v>0</v>
      </c>
      <c r="AP498" s="197">
        <f>O498*G498-U498</f>
        <v>0</v>
      </c>
      <c r="AR498" s="197">
        <f>P498*G498-V498</f>
        <v>0</v>
      </c>
    </row>
    <row r="499" spans="1:52" x14ac:dyDescent="0.2">
      <c r="A499" s="171">
        <v>4</v>
      </c>
      <c r="B499" s="171" t="s">
        <v>111</v>
      </c>
      <c r="C499" s="171" t="s">
        <v>112</v>
      </c>
      <c r="D499" s="189"/>
      <c r="E499" s="193" t="s">
        <v>1269</v>
      </c>
      <c r="F499" s="227"/>
      <c r="G499" s="227"/>
      <c r="H499" s="195"/>
      <c r="I499" s="189"/>
      <c r="J499" s="189"/>
      <c r="K499" s="189"/>
      <c r="L499" s="201"/>
      <c r="AP499" s="197">
        <f>N499*G499-T499</f>
        <v>0</v>
      </c>
    </row>
    <row r="500" spans="1:52" x14ac:dyDescent="0.2">
      <c r="A500" s="186">
        <v>5</v>
      </c>
      <c r="B500" s="171" t="s">
        <v>111</v>
      </c>
      <c r="C500" s="171" t="s">
        <v>112</v>
      </c>
      <c r="D500" s="189"/>
      <c r="E500" s="193" t="s">
        <v>1270</v>
      </c>
      <c r="F500" s="227"/>
      <c r="G500" s="227"/>
      <c r="H500" s="195"/>
      <c r="I500" s="189"/>
      <c r="J500" s="189"/>
      <c r="K500" s="189"/>
      <c r="L500" s="201"/>
      <c r="AM500" s="197">
        <f>N500*G500-T500</f>
        <v>0</v>
      </c>
      <c r="AP500" s="197">
        <f>O500*G500-U500</f>
        <v>0</v>
      </c>
      <c r="AR500" s="197">
        <f>P500*G500-V500</f>
        <v>0</v>
      </c>
    </row>
    <row r="501" spans="1:52" x14ac:dyDescent="0.2">
      <c r="A501" s="186">
        <v>24</v>
      </c>
      <c r="B501" s="171" t="s">
        <v>111</v>
      </c>
      <c r="C501" s="171" t="s">
        <v>112</v>
      </c>
      <c r="D501" s="10" t="s">
        <v>1271</v>
      </c>
      <c r="E501" s="193" t="s">
        <v>1272</v>
      </c>
      <c r="F501" s="202">
        <v>84.85</v>
      </c>
      <c r="G501" s="202"/>
      <c r="H501" s="195" t="s">
        <v>9</v>
      </c>
      <c r="I501" s="189"/>
      <c r="J501" s="189"/>
      <c r="K501" s="189" t="s">
        <v>9</v>
      </c>
      <c r="L501" s="201"/>
      <c r="AM501" s="197">
        <f>N501*G501-T501</f>
        <v>0</v>
      </c>
      <c r="AP501" s="197">
        <f>O501*G501-U501</f>
        <v>0</v>
      </c>
    </row>
    <row r="502" spans="1:52" x14ac:dyDescent="0.2">
      <c r="A502" s="186">
        <v>48</v>
      </c>
      <c r="B502" s="171" t="s">
        <v>111</v>
      </c>
      <c r="C502" s="171" t="s">
        <v>113</v>
      </c>
      <c r="D502" s="189"/>
      <c r="E502" s="193" t="s">
        <v>1273</v>
      </c>
      <c r="F502" s="227"/>
      <c r="G502" s="227"/>
      <c r="H502" s="195"/>
      <c r="I502" s="201"/>
      <c r="J502" s="201"/>
      <c r="K502" s="189"/>
      <c r="L502" s="201"/>
      <c r="AM502" s="197">
        <f>N502*G502-T502</f>
        <v>0</v>
      </c>
      <c r="AP502" s="197">
        <f>O502*G502-U502</f>
        <v>0</v>
      </c>
    </row>
    <row r="503" spans="1:52" x14ac:dyDescent="0.2">
      <c r="A503" s="171">
        <v>49</v>
      </c>
      <c r="B503" s="171" t="s">
        <v>111</v>
      </c>
      <c r="C503" s="171" t="s">
        <v>113</v>
      </c>
      <c r="D503" s="189"/>
      <c r="E503" s="193" t="s">
        <v>1270</v>
      </c>
      <c r="F503" s="227"/>
      <c r="G503" s="227"/>
      <c r="H503" s="195"/>
      <c r="I503" s="201"/>
      <c r="J503" s="201"/>
      <c r="K503" s="189"/>
      <c r="L503" s="201"/>
      <c r="AM503" s="197">
        <f>N503*G503-T503</f>
        <v>0</v>
      </c>
      <c r="AN503" s="197">
        <f>O503*G503-U503</f>
        <v>0</v>
      </c>
      <c r="AP503" s="197">
        <f>P503*G503-V503</f>
        <v>0</v>
      </c>
      <c r="AQ503" s="197">
        <f>Q503*G503-W503</f>
        <v>0</v>
      </c>
      <c r="AZ503" s="197">
        <f>R503*G503-X503</f>
        <v>0</v>
      </c>
    </row>
    <row r="504" spans="1:52" x14ac:dyDescent="0.2">
      <c r="A504" s="186">
        <v>78</v>
      </c>
      <c r="B504" s="171" t="s">
        <v>111</v>
      </c>
      <c r="C504" s="171" t="s">
        <v>114</v>
      </c>
      <c r="D504" s="189"/>
      <c r="E504" s="193" t="s">
        <v>1274</v>
      </c>
      <c r="F504" s="227"/>
      <c r="G504" s="227"/>
      <c r="H504" s="195"/>
      <c r="I504" s="189"/>
      <c r="J504" s="189"/>
      <c r="K504" s="189"/>
      <c r="L504" s="201"/>
    </row>
    <row r="505" spans="1:52" x14ac:dyDescent="0.2">
      <c r="A505" s="171">
        <v>79</v>
      </c>
      <c r="B505" s="171" t="s">
        <v>111</v>
      </c>
      <c r="C505" s="171" t="s">
        <v>114</v>
      </c>
      <c r="D505" s="189"/>
      <c r="E505" s="193" t="s">
        <v>1270</v>
      </c>
      <c r="F505" s="227"/>
      <c r="G505" s="227"/>
      <c r="H505" s="195"/>
      <c r="I505" s="189"/>
      <c r="J505" s="189"/>
      <c r="K505" s="189"/>
      <c r="L505" s="201"/>
    </row>
    <row r="506" spans="1:52" x14ac:dyDescent="0.2">
      <c r="A506" s="186">
        <v>107</v>
      </c>
      <c r="B506" s="171" t="s">
        <v>116</v>
      </c>
      <c r="C506" s="171" t="s">
        <v>112</v>
      </c>
      <c r="D506" s="201"/>
      <c r="E506" s="193" t="s">
        <v>1275</v>
      </c>
      <c r="F506" s="227"/>
      <c r="G506" s="227"/>
      <c r="H506" s="195"/>
      <c r="I506" s="189"/>
      <c r="J506" s="201"/>
      <c r="K506" s="189"/>
      <c r="L506" s="189"/>
      <c r="AP506" s="197">
        <f>N506*G506-T506</f>
        <v>0</v>
      </c>
      <c r="AQ506" s="197">
        <f>O506*G506-U506</f>
        <v>0</v>
      </c>
      <c r="AS506" s="197">
        <f>P506*G506-V506</f>
        <v>0</v>
      </c>
      <c r="AT506" s="197">
        <f>Q506*G506-W506</f>
        <v>0</v>
      </c>
    </row>
    <row r="507" spans="1:52" x14ac:dyDescent="0.2">
      <c r="A507" s="186">
        <v>108</v>
      </c>
      <c r="B507" s="171" t="s">
        <v>116</v>
      </c>
      <c r="C507" s="171" t="s">
        <v>112</v>
      </c>
      <c r="D507" s="201"/>
      <c r="E507" s="193" t="s">
        <v>1276</v>
      </c>
      <c r="F507" s="227"/>
      <c r="G507" s="227"/>
      <c r="H507" s="195"/>
      <c r="I507" s="189"/>
      <c r="J507" s="201"/>
      <c r="K507" s="189"/>
      <c r="L507" s="189"/>
      <c r="AP507" s="197">
        <f>N507*G507-T507</f>
        <v>0</v>
      </c>
      <c r="AQ507" s="197">
        <f>O507*G507-U507</f>
        <v>0</v>
      </c>
    </row>
    <row r="508" spans="1:52" x14ac:dyDescent="0.2">
      <c r="A508" s="186">
        <v>140</v>
      </c>
      <c r="B508" s="171" t="s">
        <v>116</v>
      </c>
      <c r="C508" s="171" t="s">
        <v>112</v>
      </c>
      <c r="D508" s="193" t="s">
        <v>1277</v>
      </c>
      <c r="E508" s="193" t="s">
        <v>1278</v>
      </c>
      <c r="F508" s="194">
        <v>41.8</v>
      </c>
      <c r="G508" s="194"/>
      <c r="H508" s="195"/>
      <c r="I508" s="189"/>
      <c r="J508" s="189"/>
      <c r="K508" s="189"/>
      <c r="L508" s="189"/>
      <c r="AP508" s="197">
        <f>N508*G508-T508</f>
        <v>0</v>
      </c>
      <c r="AQ508" s="197">
        <f>O508*G508-U508</f>
        <v>0</v>
      </c>
    </row>
    <row r="509" spans="1:52" x14ac:dyDescent="0.2">
      <c r="A509" s="186">
        <v>146</v>
      </c>
      <c r="B509" s="171" t="s">
        <v>116</v>
      </c>
      <c r="C509" s="171" t="s">
        <v>113</v>
      </c>
      <c r="D509" s="189"/>
      <c r="E509" s="193" t="s">
        <v>1279</v>
      </c>
      <c r="F509" s="227"/>
      <c r="G509" s="227"/>
      <c r="H509" s="195"/>
      <c r="I509" s="189"/>
      <c r="J509" s="189"/>
      <c r="K509" s="189"/>
      <c r="L509" s="201"/>
      <c r="AP509" s="197">
        <f>N509*G509-T509</f>
        <v>0</v>
      </c>
      <c r="AQ509" s="197">
        <f>O509*G509-U509</f>
        <v>0</v>
      </c>
    </row>
    <row r="510" spans="1:52" x14ac:dyDescent="0.2">
      <c r="A510" s="186">
        <v>147</v>
      </c>
      <c r="B510" s="171" t="s">
        <v>116</v>
      </c>
      <c r="C510" s="171" t="s">
        <v>113</v>
      </c>
      <c r="D510" s="189"/>
      <c r="E510" s="193" t="s">
        <v>1280</v>
      </c>
      <c r="F510" s="227"/>
      <c r="G510" s="227"/>
      <c r="H510" s="195"/>
      <c r="I510" s="189"/>
      <c r="J510" s="189"/>
      <c r="K510" s="189"/>
      <c r="L510" s="201"/>
    </row>
    <row r="511" spans="1:52" x14ac:dyDescent="0.2">
      <c r="A511" s="171">
        <v>211</v>
      </c>
      <c r="B511" s="171" t="s">
        <v>116</v>
      </c>
      <c r="C511" s="171" t="s">
        <v>114</v>
      </c>
      <c r="D511" s="189"/>
      <c r="E511" s="193" t="s">
        <v>1281</v>
      </c>
      <c r="F511" s="227"/>
      <c r="G511" s="227"/>
      <c r="H511" s="195"/>
      <c r="I511" s="189"/>
      <c r="J511" s="189"/>
      <c r="K511" s="189"/>
      <c r="L511" s="201"/>
    </row>
    <row r="512" spans="1:52" x14ac:dyDescent="0.2">
      <c r="A512" s="186">
        <v>212</v>
      </c>
      <c r="B512" s="171" t="s">
        <v>116</v>
      </c>
      <c r="C512" s="171" t="s">
        <v>114</v>
      </c>
      <c r="D512" s="189"/>
      <c r="E512" s="193" t="s">
        <v>1276</v>
      </c>
      <c r="F512" s="227"/>
      <c r="G512" s="227"/>
      <c r="H512" s="195"/>
      <c r="I512" s="189"/>
      <c r="J512" s="189"/>
      <c r="K512" s="189"/>
      <c r="L512" s="201"/>
    </row>
    <row r="513" spans="1:52" x14ac:dyDescent="0.2">
      <c r="A513" s="171">
        <v>232</v>
      </c>
      <c r="B513" s="171" t="s">
        <v>116</v>
      </c>
      <c r="C513" s="171" t="s">
        <v>114</v>
      </c>
      <c r="D513" s="189"/>
      <c r="E513" s="193" t="s">
        <v>1282</v>
      </c>
      <c r="F513" s="227"/>
      <c r="G513" s="227"/>
      <c r="H513" s="195"/>
      <c r="I513" s="201"/>
      <c r="J513" s="201"/>
      <c r="K513" s="201"/>
      <c r="L513" s="201"/>
      <c r="AP513" s="197">
        <f t="shared" ref="AP513:AP521" si="89">N513*2.67-T513</f>
        <v>0</v>
      </c>
      <c r="AQ513" s="197">
        <f t="shared" ref="AQ513:AQ521" si="90">O513*2.4-U513</f>
        <v>0</v>
      </c>
    </row>
    <row r="514" spans="1:52" x14ac:dyDescent="0.2">
      <c r="A514" s="186">
        <v>233</v>
      </c>
      <c r="B514" s="171" t="s">
        <v>116</v>
      </c>
      <c r="C514" s="171" t="s">
        <v>114</v>
      </c>
      <c r="D514" s="189"/>
      <c r="E514" s="193" t="s">
        <v>1276</v>
      </c>
      <c r="F514" s="227"/>
      <c r="G514" s="227"/>
      <c r="H514" s="195"/>
      <c r="I514" s="201"/>
      <c r="J514" s="201"/>
      <c r="K514" s="201"/>
      <c r="L514" s="201"/>
      <c r="AP514" s="197">
        <f t="shared" si="89"/>
        <v>0</v>
      </c>
      <c r="AQ514" s="197">
        <f t="shared" si="90"/>
        <v>0</v>
      </c>
      <c r="AY514" s="197">
        <f>P514*2.67-V514</f>
        <v>0</v>
      </c>
    </row>
    <row r="515" spans="1:52" x14ac:dyDescent="0.2">
      <c r="A515" s="171">
        <v>271</v>
      </c>
      <c r="B515" s="171" t="s">
        <v>118</v>
      </c>
      <c r="C515" s="171" t="s">
        <v>112</v>
      </c>
      <c r="D515" s="10"/>
      <c r="E515" s="193" t="s">
        <v>1269</v>
      </c>
      <c r="F515" s="227"/>
      <c r="G515" s="227"/>
      <c r="H515" s="195"/>
      <c r="I515" s="189"/>
      <c r="J515" s="189"/>
      <c r="K515" s="189"/>
      <c r="L515" s="201"/>
      <c r="AP515" s="197">
        <f t="shared" si="89"/>
        <v>0</v>
      </c>
      <c r="AQ515" s="197">
        <f t="shared" si="90"/>
        <v>0</v>
      </c>
    </row>
    <row r="516" spans="1:52" x14ac:dyDescent="0.2">
      <c r="A516" s="186">
        <v>272</v>
      </c>
      <c r="B516" s="171" t="s">
        <v>118</v>
      </c>
      <c r="C516" s="171" t="s">
        <v>112</v>
      </c>
      <c r="D516" s="10"/>
      <c r="E516" s="193" t="s">
        <v>1270</v>
      </c>
      <c r="F516" s="227"/>
      <c r="G516" s="227"/>
      <c r="H516" s="195"/>
      <c r="I516" s="189"/>
      <c r="J516" s="189"/>
      <c r="K516" s="189"/>
      <c r="L516" s="201"/>
      <c r="AP516" s="197">
        <f t="shared" si="89"/>
        <v>0</v>
      </c>
      <c r="AQ516" s="197">
        <f t="shared" si="90"/>
        <v>0</v>
      </c>
    </row>
    <row r="517" spans="1:52" x14ac:dyDescent="0.2">
      <c r="A517" s="186">
        <v>287</v>
      </c>
      <c r="B517" s="171" t="s">
        <v>118</v>
      </c>
      <c r="C517" s="171" t="s">
        <v>112</v>
      </c>
      <c r="D517" s="10" t="s">
        <v>360</v>
      </c>
      <c r="E517" s="193" t="s">
        <v>1284</v>
      </c>
      <c r="F517" s="227"/>
      <c r="G517" s="227"/>
      <c r="H517" s="195"/>
      <c r="I517" s="189"/>
      <c r="J517" s="189"/>
      <c r="K517" s="189"/>
      <c r="L517" s="201"/>
      <c r="AP517" s="197">
        <f t="shared" si="89"/>
        <v>0</v>
      </c>
      <c r="AQ517" s="197">
        <f t="shared" si="90"/>
        <v>0</v>
      </c>
      <c r="AY517" s="197">
        <f>P517*2.67-V517</f>
        <v>0</v>
      </c>
    </row>
    <row r="518" spans="1:52" x14ac:dyDescent="0.2">
      <c r="A518" s="186">
        <v>288</v>
      </c>
      <c r="B518" s="171" t="s">
        <v>118</v>
      </c>
      <c r="C518" s="171" t="s">
        <v>112</v>
      </c>
      <c r="D518" s="10" t="s">
        <v>361</v>
      </c>
      <c r="E518" s="193" t="s">
        <v>1284</v>
      </c>
      <c r="F518" s="227"/>
      <c r="G518" s="227"/>
      <c r="H518" s="195"/>
      <c r="I518" s="189"/>
      <c r="J518" s="189"/>
      <c r="K518" s="189"/>
      <c r="L518" s="201"/>
      <c r="AP518" s="197">
        <f t="shared" si="89"/>
        <v>0</v>
      </c>
      <c r="AQ518" s="197">
        <f t="shared" si="90"/>
        <v>0</v>
      </c>
    </row>
    <row r="519" spans="1:52" x14ac:dyDescent="0.2">
      <c r="A519" s="171">
        <v>295</v>
      </c>
      <c r="B519" s="171" t="s">
        <v>118</v>
      </c>
      <c r="C519" s="171" t="s">
        <v>112</v>
      </c>
      <c r="D519" s="10"/>
      <c r="E519" s="193" t="s">
        <v>1286</v>
      </c>
      <c r="F519" s="227"/>
      <c r="G519" s="227"/>
      <c r="H519" s="195"/>
      <c r="I519" s="189"/>
      <c r="J519" s="189"/>
      <c r="K519" s="189"/>
      <c r="L519" s="201"/>
      <c r="AP519" s="197">
        <f t="shared" si="89"/>
        <v>0</v>
      </c>
      <c r="AQ519" s="197">
        <f t="shared" si="90"/>
        <v>0</v>
      </c>
      <c r="AY519" s="197">
        <f>P519*2.67-V519</f>
        <v>0</v>
      </c>
    </row>
    <row r="520" spans="1:52" x14ac:dyDescent="0.2">
      <c r="A520" s="171">
        <v>310</v>
      </c>
      <c r="B520" s="171" t="s">
        <v>118</v>
      </c>
      <c r="C520" s="171" t="s">
        <v>113</v>
      </c>
      <c r="D520" s="10"/>
      <c r="E520" s="193" t="s">
        <v>1273</v>
      </c>
      <c r="F520" s="227"/>
      <c r="G520" s="227"/>
      <c r="H520" s="195"/>
      <c r="I520" s="189"/>
      <c r="J520" s="189"/>
      <c r="K520" s="189"/>
      <c r="L520" s="224"/>
      <c r="AP520" s="197">
        <f t="shared" si="89"/>
        <v>0</v>
      </c>
      <c r="AQ520" s="197">
        <f t="shared" si="90"/>
        <v>0</v>
      </c>
      <c r="AY520" s="197">
        <f>P520*2.67-V520</f>
        <v>0</v>
      </c>
    </row>
    <row r="521" spans="1:52" x14ac:dyDescent="0.2">
      <c r="A521" s="186">
        <v>311</v>
      </c>
      <c r="B521" s="171" t="s">
        <v>118</v>
      </c>
      <c r="C521" s="171" t="s">
        <v>113</v>
      </c>
      <c r="D521" s="10"/>
      <c r="E521" s="193" t="s">
        <v>1270</v>
      </c>
      <c r="F521" s="227"/>
      <c r="G521" s="227"/>
      <c r="H521" s="195"/>
      <c r="I521" s="189"/>
      <c r="J521" s="189"/>
      <c r="K521" s="189"/>
      <c r="L521" s="224"/>
      <c r="AP521" s="197">
        <f t="shared" si="89"/>
        <v>0</v>
      </c>
      <c r="AQ521" s="197">
        <f t="shared" si="90"/>
        <v>0</v>
      </c>
    </row>
    <row r="522" spans="1:52" x14ac:dyDescent="0.2">
      <c r="A522" s="186">
        <v>326</v>
      </c>
      <c r="B522" s="171" t="s">
        <v>118</v>
      </c>
      <c r="C522" s="171" t="s">
        <v>113</v>
      </c>
      <c r="D522" s="10" t="s">
        <v>362</v>
      </c>
      <c r="E522" s="193" t="s">
        <v>1284</v>
      </c>
      <c r="F522" s="227"/>
      <c r="G522" s="227"/>
      <c r="H522" s="195"/>
      <c r="I522" s="189"/>
      <c r="J522" s="189"/>
      <c r="K522" s="189"/>
      <c r="L522" s="224"/>
    </row>
    <row r="523" spans="1:52" x14ac:dyDescent="0.2">
      <c r="A523" s="186">
        <v>327</v>
      </c>
      <c r="B523" s="171" t="s">
        <v>118</v>
      </c>
      <c r="C523" s="171" t="s">
        <v>113</v>
      </c>
      <c r="D523" s="10" t="s">
        <v>363</v>
      </c>
      <c r="E523" s="193" t="s">
        <v>1284</v>
      </c>
      <c r="F523" s="227"/>
      <c r="G523" s="227"/>
      <c r="H523" s="195"/>
      <c r="I523" s="189"/>
      <c r="J523" s="189"/>
      <c r="K523" s="189"/>
      <c r="L523" s="224"/>
    </row>
    <row r="524" spans="1:52" x14ac:dyDescent="0.2">
      <c r="A524" s="171">
        <v>334</v>
      </c>
      <c r="B524" s="171" t="s">
        <v>118</v>
      </c>
      <c r="C524" s="171" t="s">
        <v>113</v>
      </c>
      <c r="D524" s="10"/>
      <c r="E524" s="193" t="s">
        <v>1286</v>
      </c>
      <c r="F524" s="227"/>
      <c r="G524" s="227"/>
      <c r="H524" s="195"/>
      <c r="I524" s="189"/>
      <c r="J524" s="189"/>
      <c r="K524" s="189"/>
      <c r="L524" s="224"/>
      <c r="AL524" s="197">
        <f>N524*G524-T524</f>
        <v>0</v>
      </c>
      <c r="AN524" s="197">
        <f>O524*G524-U524</f>
        <v>0</v>
      </c>
      <c r="AO524" s="197">
        <f>P524*G524-V524</f>
        <v>0</v>
      </c>
      <c r="AZ524" s="197">
        <f>Q524*G524-W524</f>
        <v>0</v>
      </c>
    </row>
    <row r="525" spans="1:52" x14ac:dyDescent="0.2">
      <c r="A525" s="171">
        <v>349</v>
      </c>
      <c r="B525" s="171" t="s">
        <v>118</v>
      </c>
      <c r="C525" s="171" t="s">
        <v>114</v>
      </c>
      <c r="D525" s="10"/>
      <c r="E525" s="193" t="s">
        <v>1281</v>
      </c>
      <c r="F525" s="227"/>
      <c r="G525" s="227"/>
      <c r="H525" s="195"/>
      <c r="I525" s="189"/>
      <c r="J525" s="189"/>
      <c r="K525" s="189"/>
      <c r="L525" s="201"/>
    </row>
    <row r="526" spans="1:52" x14ac:dyDescent="0.2">
      <c r="A526" s="186">
        <v>350</v>
      </c>
      <c r="B526" s="171" t="s">
        <v>118</v>
      </c>
      <c r="C526" s="171" t="s">
        <v>114</v>
      </c>
      <c r="D526" s="10"/>
      <c r="E526" s="193" t="s">
        <v>1276</v>
      </c>
      <c r="F526" s="227"/>
      <c r="G526" s="227"/>
      <c r="H526" s="195"/>
      <c r="I526" s="189"/>
      <c r="J526" s="189"/>
      <c r="K526" s="189"/>
      <c r="L526" s="201"/>
    </row>
    <row r="527" spans="1:52" x14ac:dyDescent="0.2">
      <c r="A527" s="171">
        <v>364</v>
      </c>
      <c r="B527" s="171" t="s">
        <v>118</v>
      </c>
      <c r="C527" s="171" t="s">
        <v>114</v>
      </c>
      <c r="D527" s="10" t="s">
        <v>364</v>
      </c>
      <c r="E527" s="193" t="s">
        <v>1290</v>
      </c>
      <c r="F527" s="227"/>
      <c r="G527" s="227"/>
      <c r="H527" s="195"/>
      <c r="I527" s="189"/>
      <c r="J527" s="189"/>
      <c r="K527" s="189"/>
      <c r="L527" s="201"/>
      <c r="AL527" s="197">
        <f>N527*H527/1000-T527</f>
        <v>0</v>
      </c>
      <c r="AM527" s="197">
        <f>O527*H527/1000-U527</f>
        <v>0</v>
      </c>
      <c r="AN527" s="197">
        <f>P527*H527/1000-V527</f>
        <v>0</v>
      </c>
      <c r="AO527" s="171"/>
      <c r="AP527" s="197">
        <f>Q527*H527/1000-W527</f>
        <v>0</v>
      </c>
      <c r="AZ527" s="197">
        <f>R527*H527/1000-X527</f>
        <v>0</v>
      </c>
    </row>
    <row r="528" spans="1:52" x14ac:dyDescent="0.2">
      <c r="A528" s="186">
        <v>365</v>
      </c>
      <c r="B528" s="171" t="s">
        <v>118</v>
      </c>
      <c r="C528" s="171" t="s">
        <v>114</v>
      </c>
      <c r="D528" s="10" t="s">
        <v>365</v>
      </c>
      <c r="E528" s="193" t="s">
        <v>1290</v>
      </c>
      <c r="F528" s="227"/>
      <c r="G528" s="227"/>
      <c r="H528" s="195"/>
      <c r="I528" s="189"/>
      <c r="J528" s="189"/>
      <c r="K528" s="189"/>
      <c r="L528" s="201"/>
    </row>
    <row r="529" spans="1:52" x14ac:dyDescent="0.2">
      <c r="A529" s="186">
        <v>368</v>
      </c>
      <c r="B529" s="171" t="s">
        <v>118</v>
      </c>
      <c r="C529" s="171" t="s">
        <v>114</v>
      </c>
      <c r="D529" s="10"/>
      <c r="E529" s="193" t="s">
        <v>1292</v>
      </c>
      <c r="F529" s="227"/>
      <c r="G529" s="227"/>
      <c r="H529" s="195"/>
      <c r="I529" s="189"/>
      <c r="J529" s="189"/>
      <c r="K529" s="189"/>
      <c r="L529" s="201"/>
    </row>
    <row r="530" spans="1:52" x14ac:dyDescent="0.2">
      <c r="A530" s="186">
        <v>380</v>
      </c>
      <c r="B530" s="171" t="s">
        <v>119</v>
      </c>
      <c r="C530" s="171" t="s">
        <v>112</v>
      </c>
      <c r="D530" s="10"/>
      <c r="E530" s="193" t="s">
        <v>1275</v>
      </c>
      <c r="F530" s="227"/>
      <c r="G530" s="227"/>
      <c r="H530" s="195"/>
      <c r="I530" s="189"/>
      <c r="J530" s="189"/>
      <c r="K530" s="189"/>
      <c r="L530" s="201"/>
    </row>
    <row r="531" spans="1:52" x14ac:dyDescent="0.2">
      <c r="A531" s="186">
        <v>381</v>
      </c>
      <c r="B531" s="171" t="s">
        <v>119</v>
      </c>
      <c r="C531" s="171" t="s">
        <v>112</v>
      </c>
      <c r="D531" s="10"/>
      <c r="E531" s="193" t="s">
        <v>1276</v>
      </c>
      <c r="F531" s="227"/>
      <c r="G531" s="227"/>
      <c r="H531" s="195"/>
      <c r="I531" s="189"/>
      <c r="J531" s="189"/>
      <c r="K531" s="189"/>
      <c r="L531" s="201"/>
      <c r="AH531" s="197">
        <f>N531*G531-T531</f>
        <v>0</v>
      </c>
      <c r="AP531" s="197">
        <f>O531*G531-U531</f>
        <v>0</v>
      </c>
      <c r="AR531" s="197">
        <f>P531*G531-V531</f>
        <v>0</v>
      </c>
    </row>
    <row r="532" spans="1:52" x14ac:dyDescent="0.2">
      <c r="A532" s="186">
        <v>396</v>
      </c>
      <c r="B532" s="171" t="s">
        <v>119</v>
      </c>
      <c r="C532" s="171" t="s">
        <v>112</v>
      </c>
      <c r="D532" s="10" t="s">
        <v>366</v>
      </c>
      <c r="E532" s="193" t="s">
        <v>1290</v>
      </c>
      <c r="F532" s="227"/>
      <c r="G532" s="227"/>
      <c r="H532" s="195"/>
      <c r="I532" s="189"/>
      <c r="J532" s="189"/>
      <c r="K532" s="189"/>
      <c r="L532" s="201"/>
      <c r="AM532" s="197">
        <f>N532*G532-T532</f>
        <v>0</v>
      </c>
      <c r="AP532" s="197">
        <f>O532*G532-U532</f>
        <v>0</v>
      </c>
      <c r="AR532" s="197">
        <f>P532*G532-V532</f>
        <v>0</v>
      </c>
    </row>
    <row r="533" spans="1:52" x14ac:dyDescent="0.2">
      <c r="A533" s="171">
        <v>406</v>
      </c>
      <c r="B533" s="171" t="s">
        <v>119</v>
      </c>
      <c r="C533" s="171" t="s">
        <v>112</v>
      </c>
      <c r="D533" s="10"/>
      <c r="E533" s="193" t="s">
        <v>1292</v>
      </c>
      <c r="F533" s="227"/>
      <c r="G533" s="227"/>
      <c r="H533" s="195"/>
      <c r="I533" s="189"/>
      <c r="J533" s="189"/>
      <c r="K533" s="189"/>
      <c r="L533" s="201"/>
      <c r="AM533" s="197">
        <f>N533*G533-T533</f>
        <v>0</v>
      </c>
      <c r="AP533" s="197">
        <f>O533*G533-U533</f>
        <v>0</v>
      </c>
    </row>
    <row r="534" spans="1:52" x14ac:dyDescent="0.2">
      <c r="A534" s="186">
        <v>420</v>
      </c>
      <c r="B534" s="171" t="s">
        <v>119</v>
      </c>
      <c r="C534" s="171" t="s">
        <v>113</v>
      </c>
      <c r="D534" s="10"/>
      <c r="E534" s="193" t="s">
        <v>1273</v>
      </c>
      <c r="F534" s="224"/>
      <c r="G534" s="224"/>
      <c r="H534" s="195"/>
      <c r="I534" s="189"/>
      <c r="J534" s="189"/>
      <c r="K534" s="189"/>
      <c r="L534" s="201"/>
      <c r="AM534" s="197">
        <f>N534*G534-T534</f>
        <v>0</v>
      </c>
      <c r="AP534" s="197">
        <f>O534*G534-U534</f>
        <v>0</v>
      </c>
      <c r="AR534" s="197">
        <f>P534*G534-V534</f>
        <v>0</v>
      </c>
    </row>
    <row r="535" spans="1:52" x14ac:dyDescent="0.2">
      <c r="A535" s="171">
        <v>421</v>
      </c>
      <c r="B535" s="171" t="s">
        <v>119</v>
      </c>
      <c r="C535" s="171" t="s">
        <v>113</v>
      </c>
      <c r="D535" s="10"/>
      <c r="E535" s="193" t="s">
        <v>1270</v>
      </c>
      <c r="F535" s="224"/>
      <c r="G535" s="224"/>
      <c r="H535" s="195"/>
      <c r="I535" s="189"/>
      <c r="J535" s="189"/>
      <c r="K535" s="189"/>
      <c r="L535" s="201"/>
      <c r="AP535" s="197">
        <f>N535*G535-T535</f>
        <v>0</v>
      </c>
    </row>
    <row r="536" spans="1:52" x14ac:dyDescent="0.2">
      <c r="A536" s="171">
        <v>445</v>
      </c>
      <c r="B536" s="171" t="s">
        <v>119</v>
      </c>
      <c r="C536" s="171" t="s">
        <v>113</v>
      </c>
      <c r="D536" s="10"/>
      <c r="E536" s="193" t="s">
        <v>1286</v>
      </c>
      <c r="F536" s="224"/>
      <c r="G536" s="224"/>
      <c r="H536" s="195"/>
      <c r="I536" s="189"/>
      <c r="J536" s="189"/>
      <c r="K536" s="189"/>
      <c r="L536" s="201"/>
      <c r="AP536" s="197">
        <f>N536*G536-T536</f>
        <v>0</v>
      </c>
      <c r="AQ536" s="197">
        <f>O536*G536-U536</f>
        <v>0</v>
      </c>
    </row>
    <row r="537" spans="1:52" x14ac:dyDescent="0.2">
      <c r="A537" s="186">
        <v>459</v>
      </c>
      <c r="B537" s="171" t="s">
        <v>119</v>
      </c>
      <c r="C537" s="171" t="s">
        <v>114</v>
      </c>
      <c r="D537" s="10"/>
      <c r="E537" s="193" t="s">
        <v>1274</v>
      </c>
      <c r="F537" s="227"/>
      <c r="G537" s="227"/>
      <c r="H537" s="195"/>
      <c r="I537" s="189"/>
      <c r="J537" s="189"/>
      <c r="K537" s="189"/>
      <c r="L537" s="201"/>
      <c r="AM537" s="197">
        <f>N537*G537-T537</f>
        <v>0</v>
      </c>
      <c r="AN537" s="197">
        <f>O537*G537-U537</f>
        <v>0</v>
      </c>
      <c r="AP537" s="197">
        <f>P537*G537-V537</f>
        <v>0</v>
      </c>
      <c r="AQ537" s="197">
        <f>Q537*G537-W537</f>
        <v>0</v>
      </c>
      <c r="AZ537" s="197">
        <f>R537*G537-X537</f>
        <v>0</v>
      </c>
    </row>
    <row r="538" spans="1:52" x14ac:dyDescent="0.2">
      <c r="A538" s="171">
        <v>460</v>
      </c>
      <c r="B538" s="171" t="s">
        <v>119</v>
      </c>
      <c r="C538" s="171" t="s">
        <v>114</v>
      </c>
      <c r="D538" s="10"/>
      <c r="E538" s="193" t="s">
        <v>1270</v>
      </c>
      <c r="F538" s="227"/>
      <c r="G538" s="227"/>
      <c r="H538" s="195"/>
      <c r="I538" s="189"/>
      <c r="J538" s="189"/>
      <c r="K538" s="189"/>
      <c r="L538" s="201"/>
    </row>
    <row r="539" spans="1:52" x14ac:dyDescent="0.2">
      <c r="A539" s="171">
        <v>475</v>
      </c>
      <c r="B539" s="171" t="s">
        <v>119</v>
      </c>
      <c r="C539" s="171" t="s">
        <v>114</v>
      </c>
      <c r="D539" s="10" t="s">
        <v>367</v>
      </c>
      <c r="E539" s="193" t="s">
        <v>1284</v>
      </c>
      <c r="F539" s="227"/>
      <c r="G539" s="227"/>
      <c r="H539" s="195"/>
      <c r="I539" s="189"/>
      <c r="J539" s="189"/>
      <c r="K539" s="189"/>
      <c r="L539" s="201"/>
    </row>
    <row r="540" spans="1:52" x14ac:dyDescent="0.2">
      <c r="A540" s="186">
        <v>485</v>
      </c>
      <c r="B540" s="171" t="s">
        <v>119</v>
      </c>
      <c r="C540" s="171" t="s">
        <v>114</v>
      </c>
      <c r="D540" s="10"/>
      <c r="E540" s="193" t="s">
        <v>1286</v>
      </c>
      <c r="F540" s="227"/>
      <c r="G540" s="227"/>
      <c r="H540" s="195"/>
      <c r="I540" s="189"/>
      <c r="J540" s="189"/>
      <c r="K540" s="189"/>
      <c r="L540" s="201"/>
      <c r="AP540" s="197">
        <f>N540*G540-T540</f>
        <v>0</v>
      </c>
      <c r="AQ540" s="197">
        <f>O540*G540-U540</f>
        <v>0</v>
      </c>
      <c r="AT540" s="197">
        <f>P540*G540-V540</f>
        <v>0</v>
      </c>
    </row>
    <row r="541" spans="1:52" x14ac:dyDescent="0.2">
      <c r="A541" s="171">
        <v>499</v>
      </c>
      <c r="B541" s="171" t="s">
        <v>120</v>
      </c>
      <c r="C541" s="171" t="s">
        <v>112</v>
      </c>
      <c r="D541" s="10"/>
      <c r="E541" s="193" t="s">
        <v>1269</v>
      </c>
      <c r="F541" s="227"/>
      <c r="G541" s="227"/>
      <c r="H541" s="195"/>
      <c r="I541" s="189"/>
      <c r="J541" s="189"/>
      <c r="K541" s="189"/>
      <c r="L541" s="224"/>
      <c r="AP541" s="197">
        <f>N541*G541-T541</f>
        <v>0</v>
      </c>
      <c r="AQ541" s="197">
        <f>O541*G541-U541</f>
        <v>0</v>
      </c>
    </row>
    <row r="542" spans="1:52" x14ac:dyDescent="0.2">
      <c r="A542" s="186">
        <v>500</v>
      </c>
      <c r="B542" s="171" t="s">
        <v>120</v>
      </c>
      <c r="C542" s="171" t="s">
        <v>112</v>
      </c>
      <c r="D542" s="10"/>
      <c r="E542" s="193" t="s">
        <v>1270</v>
      </c>
      <c r="F542" s="227"/>
      <c r="G542" s="227"/>
      <c r="H542" s="195"/>
      <c r="I542" s="189"/>
      <c r="J542" s="189"/>
      <c r="K542" s="189"/>
      <c r="L542" s="224"/>
      <c r="AP542" s="197">
        <f>N542*G542-T542</f>
        <v>0</v>
      </c>
      <c r="AQ542" s="197">
        <f>O542*G542-U542</f>
        <v>0</v>
      </c>
    </row>
    <row r="543" spans="1:52" x14ac:dyDescent="0.2">
      <c r="A543" s="186">
        <v>515</v>
      </c>
      <c r="B543" s="171" t="s">
        <v>120</v>
      </c>
      <c r="C543" s="171" t="s">
        <v>112</v>
      </c>
      <c r="D543" s="10" t="s">
        <v>368</v>
      </c>
      <c r="E543" s="193" t="s">
        <v>1284</v>
      </c>
      <c r="F543" s="227"/>
      <c r="G543" s="227"/>
      <c r="H543" s="195"/>
      <c r="I543" s="189"/>
      <c r="J543" s="189"/>
      <c r="K543" s="189"/>
      <c r="L543" s="224"/>
      <c r="AP543" s="197">
        <f>N543*G543-T543</f>
        <v>0</v>
      </c>
      <c r="AQ543" s="197">
        <f>O543*G543-U543</f>
        <v>0</v>
      </c>
    </row>
    <row r="544" spans="1:52" x14ac:dyDescent="0.2">
      <c r="A544" s="186">
        <v>516</v>
      </c>
      <c r="B544" s="171" t="s">
        <v>120</v>
      </c>
      <c r="C544" s="171" t="s">
        <v>112</v>
      </c>
      <c r="D544" s="10" t="s">
        <v>369</v>
      </c>
      <c r="E544" s="193" t="s">
        <v>1284</v>
      </c>
      <c r="F544" s="227"/>
      <c r="G544" s="227"/>
      <c r="H544" s="195"/>
      <c r="I544" s="189"/>
      <c r="J544" s="189"/>
      <c r="K544" s="189"/>
      <c r="L544" s="224"/>
    </row>
    <row r="545" spans="1:54" x14ac:dyDescent="0.2">
      <c r="A545" s="171">
        <v>523</v>
      </c>
      <c r="B545" s="171" t="s">
        <v>120</v>
      </c>
      <c r="C545" s="171" t="s">
        <v>112</v>
      </c>
      <c r="D545" s="10"/>
      <c r="E545" s="193" t="s">
        <v>1286</v>
      </c>
      <c r="F545" s="227"/>
      <c r="G545" s="227"/>
      <c r="H545" s="195"/>
      <c r="I545" s="189"/>
      <c r="J545" s="189"/>
      <c r="K545" s="189"/>
      <c r="L545" s="224"/>
    </row>
    <row r="546" spans="1:54" x14ac:dyDescent="0.2">
      <c r="A546" s="171">
        <v>538</v>
      </c>
      <c r="B546" s="171" t="s">
        <v>120</v>
      </c>
      <c r="C546" s="171" t="s">
        <v>113</v>
      </c>
      <c r="D546" s="10"/>
      <c r="E546" s="193" t="s">
        <v>1273</v>
      </c>
      <c r="F546" s="227"/>
      <c r="G546" s="227"/>
      <c r="H546" s="195"/>
      <c r="I546" s="189"/>
      <c r="J546" s="189"/>
      <c r="K546" s="189"/>
      <c r="L546" s="201"/>
    </row>
    <row r="547" spans="1:54" x14ac:dyDescent="0.2">
      <c r="A547" s="186">
        <v>539</v>
      </c>
      <c r="B547" s="171" t="s">
        <v>120</v>
      </c>
      <c r="C547" s="171" t="s">
        <v>113</v>
      </c>
      <c r="D547" s="10"/>
      <c r="E547" s="193" t="s">
        <v>1270</v>
      </c>
      <c r="F547" s="227"/>
      <c r="G547" s="227"/>
      <c r="H547" s="195"/>
      <c r="I547" s="189"/>
      <c r="J547" s="189"/>
      <c r="K547" s="189"/>
      <c r="L547" s="201"/>
      <c r="AP547" s="197">
        <f t="shared" ref="AP547:AP555" si="91">N547*2.67-T547</f>
        <v>0</v>
      </c>
      <c r="AQ547" s="197">
        <f t="shared" ref="AQ547:AQ555" si="92">O547*2.4-U547</f>
        <v>0</v>
      </c>
      <c r="AY547" s="197">
        <f>P547*2.67-V547</f>
        <v>0</v>
      </c>
    </row>
    <row r="548" spans="1:54" s="197" customFormat="1" x14ac:dyDescent="0.2">
      <c r="A548" s="186">
        <v>554</v>
      </c>
      <c r="B548" s="171" t="s">
        <v>120</v>
      </c>
      <c r="C548" s="171" t="s">
        <v>113</v>
      </c>
      <c r="D548" s="10" t="s">
        <v>370</v>
      </c>
      <c r="E548" s="193" t="s">
        <v>1284</v>
      </c>
      <c r="F548" s="227"/>
      <c r="G548" s="227"/>
      <c r="H548" s="195"/>
      <c r="I548" s="189"/>
      <c r="J548" s="189"/>
      <c r="K548" s="189"/>
      <c r="L548" s="201"/>
      <c r="M548" s="196"/>
      <c r="N548" s="196"/>
      <c r="O548" s="196"/>
      <c r="P548" s="196"/>
      <c r="Q548" s="196"/>
      <c r="R548" s="196"/>
      <c r="S548" s="196"/>
      <c r="T548" s="196"/>
      <c r="U548" s="196"/>
      <c r="V548" s="196"/>
      <c r="W548" s="196"/>
      <c r="X548" s="196"/>
      <c r="Y548" s="171"/>
      <c r="AP548" s="197">
        <f t="shared" si="91"/>
        <v>0</v>
      </c>
      <c r="AQ548" s="197">
        <f t="shared" si="92"/>
        <v>0</v>
      </c>
      <c r="BA548" s="171"/>
      <c r="BB548" s="171"/>
    </row>
    <row r="549" spans="1:54" s="197" customFormat="1" x14ac:dyDescent="0.2">
      <c r="A549" s="186">
        <v>555</v>
      </c>
      <c r="B549" s="171" t="s">
        <v>120</v>
      </c>
      <c r="C549" s="171" t="s">
        <v>113</v>
      </c>
      <c r="D549" s="10" t="s">
        <v>371</v>
      </c>
      <c r="E549" s="193" t="s">
        <v>1284</v>
      </c>
      <c r="F549" s="227"/>
      <c r="G549" s="227"/>
      <c r="H549" s="195"/>
      <c r="I549" s="189"/>
      <c r="J549" s="189"/>
      <c r="K549" s="189"/>
      <c r="L549" s="201"/>
      <c r="M549" s="196"/>
      <c r="N549" s="196"/>
      <c r="O549" s="196"/>
      <c r="P549" s="196"/>
      <c r="Q549" s="196"/>
      <c r="R549" s="196"/>
      <c r="S549" s="196"/>
      <c r="T549" s="196"/>
      <c r="U549" s="196"/>
      <c r="V549" s="196"/>
      <c r="W549" s="196"/>
      <c r="X549" s="196"/>
      <c r="Y549" s="171"/>
      <c r="AP549" s="197">
        <f t="shared" si="91"/>
        <v>0</v>
      </c>
      <c r="AQ549" s="197">
        <f t="shared" si="92"/>
        <v>0</v>
      </c>
      <c r="AY549" s="197">
        <f>P549*2.67-V549</f>
        <v>0</v>
      </c>
      <c r="BA549" s="171"/>
      <c r="BB549" s="171"/>
    </row>
    <row r="550" spans="1:54" s="197" customFormat="1" x14ac:dyDescent="0.2">
      <c r="A550" s="171">
        <v>562</v>
      </c>
      <c r="B550" s="171" t="s">
        <v>120</v>
      </c>
      <c r="C550" s="171" t="s">
        <v>113</v>
      </c>
      <c r="D550" s="10"/>
      <c r="E550" s="193" t="s">
        <v>1286</v>
      </c>
      <c r="F550" s="227"/>
      <c r="G550" s="227"/>
      <c r="H550" s="195"/>
      <c r="I550" s="189"/>
      <c r="J550" s="189"/>
      <c r="K550" s="189"/>
      <c r="L550" s="201"/>
      <c r="M550" s="196"/>
      <c r="N550" s="196"/>
      <c r="O550" s="196"/>
      <c r="P550" s="196"/>
      <c r="Q550" s="196"/>
      <c r="R550" s="196"/>
      <c r="S550" s="196"/>
      <c r="T550" s="196"/>
      <c r="U550" s="196"/>
      <c r="V550" s="196"/>
      <c r="W550" s="196"/>
      <c r="X550" s="196"/>
      <c r="Y550" s="171"/>
      <c r="AP550" s="197">
        <f t="shared" si="91"/>
        <v>0</v>
      </c>
      <c r="AQ550" s="197">
        <f t="shared" si="92"/>
        <v>0</v>
      </c>
      <c r="BA550" s="171"/>
      <c r="BB550" s="171"/>
    </row>
    <row r="551" spans="1:54" s="197" customFormat="1" x14ac:dyDescent="0.2">
      <c r="A551" s="171">
        <v>577</v>
      </c>
      <c r="B551" s="171" t="s">
        <v>120</v>
      </c>
      <c r="C551" s="171" t="s">
        <v>114</v>
      </c>
      <c r="D551" s="10"/>
      <c r="E551" s="193" t="s">
        <v>1274</v>
      </c>
      <c r="F551" s="227"/>
      <c r="G551" s="227"/>
      <c r="H551" s="195"/>
      <c r="I551" s="189"/>
      <c r="J551" s="189"/>
      <c r="K551" s="189"/>
      <c r="L551" s="201"/>
      <c r="M551" s="196"/>
      <c r="N551" s="196"/>
      <c r="O551" s="196"/>
      <c r="P551" s="196"/>
      <c r="Q551" s="196"/>
      <c r="R551" s="196"/>
      <c r="S551" s="196"/>
      <c r="T551" s="196"/>
      <c r="U551" s="196"/>
      <c r="V551" s="196"/>
      <c r="W551" s="196"/>
      <c r="X551" s="196"/>
      <c r="Y551" s="171"/>
      <c r="AP551" s="197">
        <f t="shared" si="91"/>
        <v>0</v>
      </c>
      <c r="AQ551" s="197">
        <f t="shared" si="92"/>
        <v>0</v>
      </c>
      <c r="BA551" s="171"/>
      <c r="BB551" s="171"/>
    </row>
    <row r="552" spans="1:54" s="197" customFormat="1" x14ac:dyDescent="0.2">
      <c r="A552" s="186">
        <v>578</v>
      </c>
      <c r="B552" s="171" t="s">
        <v>120</v>
      </c>
      <c r="C552" s="171" t="s">
        <v>114</v>
      </c>
      <c r="D552" s="10"/>
      <c r="E552" s="193" t="s">
        <v>1270</v>
      </c>
      <c r="F552" s="227"/>
      <c r="G552" s="227"/>
      <c r="H552" s="195"/>
      <c r="I552" s="189"/>
      <c r="J552" s="189"/>
      <c r="K552" s="189"/>
      <c r="L552" s="201"/>
      <c r="M552" s="196"/>
      <c r="N552" s="196"/>
      <c r="O552" s="196"/>
      <c r="P552" s="196"/>
      <c r="Q552" s="196"/>
      <c r="R552" s="196"/>
      <c r="S552" s="196"/>
      <c r="T552" s="196"/>
      <c r="U552" s="196"/>
      <c r="V552" s="196"/>
      <c r="W552" s="196"/>
      <c r="X552" s="196"/>
      <c r="Y552" s="171"/>
      <c r="AP552" s="197">
        <f t="shared" si="91"/>
        <v>0</v>
      </c>
      <c r="AQ552" s="197">
        <f t="shared" si="92"/>
        <v>0</v>
      </c>
      <c r="AY552" s="197">
        <f>P552*2.67-V552</f>
        <v>0</v>
      </c>
      <c r="BA552" s="171"/>
      <c r="BB552" s="171"/>
    </row>
    <row r="553" spans="1:54" s="197" customFormat="1" x14ac:dyDescent="0.2">
      <c r="A553" s="186">
        <v>593</v>
      </c>
      <c r="B553" s="171" t="s">
        <v>120</v>
      </c>
      <c r="C553" s="171" t="s">
        <v>114</v>
      </c>
      <c r="D553" s="10" t="s">
        <v>372</v>
      </c>
      <c r="E553" s="193" t="s">
        <v>1284</v>
      </c>
      <c r="F553" s="227"/>
      <c r="G553" s="227"/>
      <c r="H553" s="195"/>
      <c r="I553" s="189"/>
      <c r="J553" s="189"/>
      <c r="K553" s="189"/>
      <c r="L553" s="201"/>
      <c r="M553" s="196"/>
      <c r="N553" s="196"/>
      <c r="O553" s="196"/>
      <c r="P553" s="196"/>
      <c r="Q553" s="196"/>
      <c r="R553" s="196"/>
      <c r="S553" s="196"/>
      <c r="T553" s="196"/>
      <c r="U553" s="196"/>
      <c r="V553" s="196"/>
      <c r="W553" s="196"/>
      <c r="X553" s="196"/>
      <c r="Y553" s="171"/>
      <c r="AP553" s="197">
        <f t="shared" si="91"/>
        <v>0</v>
      </c>
      <c r="AQ553" s="197">
        <f t="shared" si="92"/>
        <v>0</v>
      </c>
      <c r="BA553" s="171"/>
      <c r="BB553" s="171"/>
    </row>
    <row r="554" spans="1:54" s="197" customFormat="1" x14ac:dyDescent="0.2">
      <c r="A554" s="186">
        <v>594</v>
      </c>
      <c r="B554" s="171" t="s">
        <v>120</v>
      </c>
      <c r="C554" s="171" t="s">
        <v>114</v>
      </c>
      <c r="D554" s="10" t="s">
        <v>373</v>
      </c>
      <c r="E554" s="193" t="s">
        <v>1284</v>
      </c>
      <c r="F554" s="227"/>
      <c r="G554" s="227"/>
      <c r="H554" s="195"/>
      <c r="I554" s="189"/>
      <c r="J554" s="189"/>
      <c r="K554" s="189"/>
      <c r="L554" s="201"/>
      <c r="M554" s="196"/>
      <c r="N554" s="196"/>
      <c r="O554" s="196"/>
      <c r="P554" s="196"/>
      <c r="Q554" s="196"/>
      <c r="R554" s="196"/>
      <c r="S554" s="196"/>
      <c r="T554" s="196"/>
      <c r="U554" s="196"/>
      <c r="V554" s="196"/>
      <c r="W554" s="196"/>
      <c r="X554" s="196"/>
      <c r="Y554" s="171"/>
      <c r="AP554" s="197">
        <f t="shared" si="91"/>
        <v>0</v>
      </c>
      <c r="AQ554" s="197">
        <f t="shared" si="92"/>
        <v>0</v>
      </c>
      <c r="AY554" s="197">
        <f>P554*2.67-V554</f>
        <v>0</v>
      </c>
      <c r="BA554" s="171"/>
      <c r="BB554" s="171"/>
    </row>
    <row r="555" spans="1:54" s="197" customFormat="1" x14ac:dyDescent="0.2">
      <c r="A555" s="171">
        <v>601</v>
      </c>
      <c r="B555" s="171" t="s">
        <v>120</v>
      </c>
      <c r="C555" s="171" t="s">
        <v>114</v>
      </c>
      <c r="D555" s="10"/>
      <c r="E555" s="193" t="s">
        <v>1286</v>
      </c>
      <c r="F555" s="227"/>
      <c r="G555" s="227"/>
      <c r="H555" s="195"/>
      <c r="I555" s="189"/>
      <c r="J555" s="189"/>
      <c r="K555" s="189"/>
      <c r="L555" s="201"/>
      <c r="M555" s="196"/>
      <c r="N555" s="196"/>
      <c r="O555" s="196"/>
      <c r="P555" s="196"/>
      <c r="Q555" s="196"/>
      <c r="R555" s="196"/>
      <c r="S555" s="196"/>
      <c r="T555" s="196"/>
      <c r="U555" s="196"/>
      <c r="V555" s="196"/>
      <c r="W555" s="196"/>
      <c r="X555" s="196"/>
      <c r="Y555" s="171"/>
      <c r="AP555" s="197">
        <f t="shared" si="91"/>
        <v>0</v>
      </c>
      <c r="AQ555" s="197">
        <f t="shared" si="92"/>
        <v>0</v>
      </c>
      <c r="AY555" s="197">
        <f>P555*2.67-V555</f>
        <v>0</v>
      </c>
      <c r="BA555" s="171"/>
      <c r="BB555" s="171"/>
    </row>
  </sheetData>
  <sortState xmlns:xlrd2="http://schemas.microsoft.com/office/spreadsheetml/2017/richdata2" ref="A24:BB331">
    <sortCondition ref="I24:I331"/>
  </sortState>
  <phoneticPr fontId="4" type="noConversion"/>
  <printOptions horizontalCentered="1"/>
  <pageMargins left="0.78740157480314965" right="0.78740157480314965" top="0.74803149606299213" bottom="0.74803149606299213" header="0.31496062992125984" footer="0.31496062992125984"/>
  <pageSetup paperSize="9" scale="1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531A16-B784-4435-907F-7FBC74B629C9}">
  <sheetPr>
    <pageSetUpPr fitToPage="1"/>
  </sheetPr>
  <dimension ref="A1:J94"/>
  <sheetViews>
    <sheetView view="pageBreakPreview" zoomScale="85" zoomScaleNormal="100" zoomScaleSheetLayoutView="85" workbookViewId="0">
      <pane ySplit="3" topLeftCell="A4" activePane="bottomLeft" state="frozen"/>
      <selection pane="bottomLeft" activeCell="S31" sqref="S31"/>
    </sheetView>
  </sheetViews>
  <sheetFormatPr defaultRowHeight="15" x14ac:dyDescent="0.25"/>
  <cols>
    <col min="1" max="2" width="9.33203125" style="1"/>
    <col min="3" max="3" width="21.83203125" style="1" customWidth="1"/>
    <col min="4" max="5" width="12.5" style="2" customWidth="1"/>
    <col min="6" max="6" width="8.1640625" style="1" customWidth="1"/>
    <col min="7" max="7" width="7.33203125" style="1" customWidth="1"/>
    <col min="8" max="8" width="9.33203125" style="1"/>
    <col min="9" max="9" width="9.33203125" style="3"/>
    <col min="10" max="16384" width="9.33203125" style="1"/>
  </cols>
  <sheetData>
    <row r="1" spans="1:10" ht="18.75" x14ac:dyDescent="0.25">
      <c r="A1" s="148" t="s">
        <v>1473</v>
      </c>
    </row>
    <row r="3" spans="1:10" x14ac:dyDescent="0.25">
      <c r="A3" s="274" t="s">
        <v>525</v>
      </c>
      <c r="B3" s="274" t="s">
        <v>526</v>
      </c>
      <c r="C3" s="274" t="s">
        <v>527</v>
      </c>
      <c r="D3" s="275" t="s">
        <v>528</v>
      </c>
      <c r="E3" s="275" t="s">
        <v>529</v>
      </c>
      <c r="F3" s="274"/>
      <c r="G3" s="274" t="s">
        <v>530</v>
      </c>
      <c r="H3" s="274" t="s">
        <v>531</v>
      </c>
      <c r="I3" s="276" t="s">
        <v>532</v>
      </c>
      <c r="J3" s="274"/>
    </row>
    <row r="4" spans="1:10" x14ac:dyDescent="0.25">
      <c r="A4" s="274">
        <v>1</v>
      </c>
      <c r="B4" s="274">
        <v>1</v>
      </c>
      <c r="C4" s="274" t="s">
        <v>533</v>
      </c>
      <c r="D4" s="275">
        <f>3.42*2.765</f>
        <v>9.4563000000000006</v>
      </c>
      <c r="E4" s="275">
        <f>D4*B4</f>
        <v>9.4563000000000006</v>
      </c>
      <c r="F4" s="274"/>
      <c r="G4" s="274" t="s">
        <v>534</v>
      </c>
      <c r="H4" s="274" t="s">
        <v>535</v>
      </c>
      <c r="I4" s="276" t="s">
        <v>536</v>
      </c>
      <c r="J4" s="274"/>
    </row>
    <row r="5" spans="1:10" x14ac:dyDescent="0.25">
      <c r="A5" s="274">
        <v>2</v>
      </c>
      <c r="B5" s="274">
        <v>2</v>
      </c>
      <c r="C5" s="274" t="s">
        <v>537</v>
      </c>
      <c r="D5" s="275">
        <f>6.77*2.765</f>
        <v>18.719049999999999</v>
      </c>
      <c r="E5" s="275">
        <f t="shared" ref="E5:E68" si="0">D5*B5</f>
        <v>37.438099999999999</v>
      </c>
      <c r="F5" s="274"/>
      <c r="G5" s="274" t="s">
        <v>534</v>
      </c>
      <c r="H5" s="274" t="s">
        <v>535</v>
      </c>
      <c r="I5" s="276"/>
      <c r="J5" s="274"/>
    </row>
    <row r="6" spans="1:10" x14ac:dyDescent="0.25">
      <c r="A6" s="274">
        <v>3</v>
      </c>
      <c r="B6" s="274">
        <v>1</v>
      </c>
      <c r="C6" s="274" t="s">
        <v>537</v>
      </c>
      <c r="D6" s="275">
        <f>6.77*2.765</f>
        <v>18.719049999999999</v>
      </c>
      <c r="E6" s="275">
        <f t="shared" si="0"/>
        <v>18.719049999999999</v>
      </c>
      <c r="F6" s="274"/>
      <c r="G6" s="274" t="s">
        <v>534</v>
      </c>
      <c r="H6" s="274" t="s">
        <v>535</v>
      </c>
      <c r="I6" s="276">
        <f>0.815*2.765</f>
        <v>2.2534749999999999</v>
      </c>
      <c r="J6" s="274" t="s">
        <v>538</v>
      </c>
    </row>
    <row r="7" spans="1:10" x14ac:dyDescent="0.25">
      <c r="A7" s="274">
        <v>4</v>
      </c>
      <c r="B7" s="274">
        <v>1</v>
      </c>
      <c r="C7" s="274" t="s">
        <v>539</v>
      </c>
      <c r="D7" s="275">
        <f>5.165*2.015</f>
        <v>10.407475000000002</v>
      </c>
      <c r="E7" s="275">
        <f t="shared" si="0"/>
        <v>10.407475000000002</v>
      </c>
      <c r="F7" s="274"/>
      <c r="G7" s="274" t="s">
        <v>534</v>
      </c>
      <c r="H7" s="274" t="s">
        <v>535</v>
      </c>
      <c r="I7" s="276" t="s">
        <v>540</v>
      </c>
      <c r="J7" s="274" t="s">
        <v>538</v>
      </c>
    </row>
    <row r="8" spans="1:10" x14ac:dyDescent="0.25">
      <c r="A8" s="274">
        <v>5</v>
      </c>
      <c r="B8" s="274">
        <v>1</v>
      </c>
      <c r="C8" s="274" t="s">
        <v>541</v>
      </c>
      <c r="D8" s="275">
        <f>3.32*2.015</f>
        <v>6.6898</v>
      </c>
      <c r="E8" s="275">
        <f t="shared" si="0"/>
        <v>6.6898</v>
      </c>
      <c r="F8" s="274"/>
      <c r="G8" s="274" t="s">
        <v>534</v>
      </c>
      <c r="H8" s="274" t="s">
        <v>535</v>
      </c>
      <c r="I8" s="276">
        <f>1.63*1.66</f>
        <v>2.7057999999999995</v>
      </c>
      <c r="J8" s="274" t="s">
        <v>538</v>
      </c>
    </row>
    <row r="9" spans="1:10" x14ac:dyDescent="0.25">
      <c r="A9" s="274">
        <v>6</v>
      </c>
      <c r="B9" s="274">
        <v>1</v>
      </c>
      <c r="C9" s="274" t="s">
        <v>541</v>
      </c>
      <c r="D9" s="275">
        <f>3.32*2.015</f>
        <v>6.6898</v>
      </c>
      <c r="E9" s="275">
        <f t="shared" si="0"/>
        <v>6.6898</v>
      </c>
      <c r="F9" s="274"/>
      <c r="G9" s="274" t="s">
        <v>534</v>
      </c>
      <c r="H9" s="274" t="s">
        <v>535</v>
      </c>
      <c r="I9" s="276" t="s">
        <v>542</v>
      </c>
      <c r="J9" s="274"/>
    </row>
    <row r="10" spans="1:10" x14ac:dyDescent="0.25">
      <c r="A10" s="274">
        <v>7</v>
      </c>
      <c r="B10" s="274">
        <v>1</v>
      </c>
      <c r="C10" s="274" t="s">
        <v>543</v>
      </c>
      <c r="D10" s="275">
        <f>6.77*2.015</f>
        <v>13.641550000000001</v>
      </c>
      <c r="E10" s="275">
        <f t="shared" si="0"/>
        <v>13.641550000000001</v>
      </c>
      <c r="F10" s="274"/>
      <c r="G10" s="274" t="s">
        <v>534</v>
      </c>
      <c r="H10" s="274" t="s">
        <v>535</v>
      </c>
      <c r="I10" s="276" t="s">
        <v>542</v>
      </c>
      <c r="J10" s="274"/>
    </row>
    <row r="11" spans="1:10" x14ac:dyDescent="0.25">
      <c r="A11" s="274">
        <v>8</v>
      </c>
      <c r="B11" s="274">
        <v>1</v>
      </c>
      <c r="C11" s="274" t="s">
        <v>544</v>
      </c>
      <c r="D11" s="275">
        <f>9.765*2.355+1.23*0.97</f>
        <v>24.189675000000001</v>
      </c>
      <c r="E11" s="275">
        <f t="shared" si="0"/>
        <v>24.189675000000001</v>
      </c>
      <c r="F11" s="274"/>
      <c r="G11" s="274" t="s">
        <v>534</v>
      </c>
      <c r="H11" s="274" t="s">
        <v>535</v>
      </c>
      <c r="I11" s="276" t="s">
        <v>542</v>
      </c>
      <c r="J11" s="274"/>
    </row>
    <row r="12" spans="1:10" x14ac:dyDescent="0.25">
      <c r="A12" s="274">
        <v>9</v>
      </c>
      <c r="B12" s="274">
        <v>1</v>
      </c>
      <c r="C12" s="274" t="s">
        <v>545</v>
      </c>
      <c r="D12" s="275">
        <f>3.32*2.415</f>
        <v>8.0177999999999994</v>
      </c>
      <c r="E12" s="275">
        <f t="shared" si="0"/>
        <v>8.0177999999999994</v>
      </c>
      <c r="F12" s="274"/>
      <c r="G12" s="274" t="s">
        <v>534</v>
      </c>
      <c r="H12" s="274" t="s">
        <v>535</v>
      </c>
      <c r="I12" s="276" t="s">
        <v>542</v>
      </c>
      <c r="J12" s="274"/>
    </row>
    <row r="13" spans="1:10" x14ac:dyDescent="0.25">
      <c r="A13" s="274">
        <v>10</v>
      </c>
      <c r="B13" s="274">
        <v>1</v>
      </c>
      <c r="C13" s="274" t="s">
        <v>545</v>
      </c>
      <c r="D13" s="275">
        <f>3.32*2.415</f>
        <v>8.0177999999999994</v>
      </c>
      <c r="E13" s="275">
        <f t="shared" si="0"/>
        <v>8.0177999999999994</v>
      </c>
      <c r="F13" s="274"/>
      <c r="G13" s="274" t="s">
        <v>534</v>
      </c>
      <c r="H13" s="274" t="s">
        <v>535</v>
      </c>
      <c r="I13" s="276" t="s">
        <v>542</v>
      </c>
      <c r="J13" s="274"/>
    </row>
    <row r="14" spans="1:10" x14ac:dyDescent="0.25">
      <c r="A14" s="274" t="s">
        <v>546</v>
      </c>
      <c r="B14" s="274">
        <v>1</v>
      </c>
      <c r="C14" s="274" t="s">
        <v>547</v>
      </c>
      <c r="D14" s="275">
        <f>6.77*2.415</f>
        <v>16.349550000000001</v>
      </c>
      <c r="E14" s="275">
        <f t="shared" si="0"/>
        <v>16.349550000000001</v>
      </c>
      <c r="F14" s="274"/>
      <c r="G14" s="274" t="s">
        <v>534</v>
      </c>
      <c r="H14" s="274" t="s">
        <v>535</v>
      </c>
      <c r="I14" s="276">
        <f>0.815*2.415</f>
        <v>1.9682249999999999</v>
      </c>
      <c r="J14" s="274" t="s">
        <v>538</v>
      </c>
    </row>
    <row r="15" spans="1:10" x14ac:dyDescent="0.25">
      <c r="A15" s="274">
        <v>13</v>
      </c>
      <c r="B15" s="274">
        <v>1</v>
      </c>
      <c r="C15" s="274" t="s">
        <v>548</v>
      </c>
      <c r="D15" s="275">
        <f>4.13*3.39</f>
        <v>14.0007</v>
      </c>
      <c r="E15" s="275">
        <f t="shared" si="0"/>
        <v>14.0007</v>
      </c>
      <c r="F15" s="274"/>
      <c r="G15" s="274" t="s">
        <v>534</v>
      </c>
      <c r="H15" s="274" t="s">
        <v>535</v>
      </c>
      <c r="I15" s="276" t="s">
        <v>542</v>
      </c>
      <c r="J15" s="274"/>
    </row>
    <row r="16" spans="1:10" x14ac:dyDescent="0.25">
      <c r="A16" s="274">
        <v>14</v>
      </c>
      <c r="B16" s="274">
        <v>1</v>
      </c>
      <c r="C16" s="274" t="s">
        <v>549</v>
      </c>
      <c r="D16" s="275">
        <f>4.735*3.4</f>
        <v>16.099</v>
      </c>
      <c r="E16" s="275">
        <f t="shared" si="0"/>
        <v>16.099</v>
      </c>
      <c r="F16" s="274"/>
      <c r="G16" s="274" t="s">
        <v>534</v>
      </c>
      <c r="H16" s="274" t="s">
        <v>535</v>
      </c>
      <c r="I16" s="276" t="s">
        <v>542</v>
      </c>
      <c r="J16" s="274"/>
    </row>
    <row r="17" spans="1:10" x14ac:dyDescent="0.25">
      <c r="A17" s="274">
        <v>15</v>
      </c>
      <c r="B17" s="274">
        <v>1</v>
      </c>
      <c r="C17" s="274" t="s">
        <v>550</v>
      </c>
      <c r="D17" s="275">
        <f>6.59*3.39</f>
        <v>22.3401</v>
      </c>
      <c r="E17" s="275">
        <f t="shared" si="0"/>
        <v>22.3401</v>
      </c>
      <c r="F17" s="274"/>
      <c r="G17" s="274" t="s">
        <v>534</v>
      </c>
      <c r="H17" s="274" t="s">
        <v>535</v>
      </c>
      <c r="I17" s="276">
        <f>1.72*(2.99+0.295)</f>
        <v>5.6501999999999999</v>
      </c>
      <c r="J17" s="274" t="s">
        <v>538</v>
      </c>
    </row>
    <row r="18" spans="1:10" x14ac:dyDescent="0.25">
      <c r="A18" s="274">
        <v>16</v>
      </c>
      <c r="B18" s="274">
        <v>1</v>
      </c>
      <c r="C18" s="274" t="s">
        <v>551</v>
      </c>
      <c r="D18" s="275">
        <f>5.23*3.385</f>
        <v>17.70355</v>
      </c>
      <c r="E18" s="275">
        <f t="shared" si="0"/>
        <v>17.70355</v>
      </c>
      <c r="F18" s="274"/>
      <c r="G18" s="274" t="s">
        <v>534</v>
      </c>
      <c r="H18" s="274" t="s">
        <v>535</v>
      </c>
      <c r="I18" s="276" t="s">
        <v>542</v>
      </c>
      <c r="J18" s="274"/>
    </row>
    <row r="19" spans="1:10" x14ac:dyDescent="0.25">
      <c r="A19" s="274">
        <v>17</v>
      </c>
      <c r="B19" s="274">
        <v>1</v>
      </c>
      <c r="C19" s="274" t="s">
        <v>552</v>
      </c>
      <c r="D19" s="275">
        <f>5.045*2.415</f>
        <v>12.183674999999999</v>
      </c>
      <c r="E19" s="275">
        <f t="shared" si="0"/>
        <v>12.183674999999999</v>
      </c>
      <c r="F19" s="274"/>
      <c r="G19" s="274" t="s">
        <v>534</v>
      </c>
      <c r="H19" s="274" t="s">
        <v>535</v>
      </c>
      <c r="I19" s="276">
        <f>1.63*(2.06+0.295)</f>
        <v>3.8386499999999999</v>
      </c>
      <c r="J19" s="274" t="s">
        <v>538</v>
      </c>
    </row>
    <row r="20" spans="1:10" x14ac:dyDescent="0.25">
      <c r="A20" s="274">
        <v>18</v>
      </c>
      <c r="B20" s="274">
        <v>1</v>
      </c>
      <c r="C20" s="274" t="s">
        <v>552</v>
      </c>
      <c r="D20" s="275">
        <f>5.045*2.415</f>
        <v>12.183674999999999</v>
      </c>
      <c r="E20" s="275">
        <f t="shared" si="0"/>
        <v>12.183674999999999</v>
      </c>
      <c r="F20" s="274"/>
      <c r="G20" s="274" t="s">
        <v>534</v>
      </c>
      <c r="H20" s="274" t="s">
        <v>535</v>
      </c>
      <c r="I20" s="276" t="s">
        <v>542</v>
      </c>
      <c r="J20" s="274"/>
    </row>
    <row r="21" spans="1:10" x14ac:dyDescent="0.25">
      <c r="A21" s="274">
        <v>19</v>
      </c>
      <c r="B21" s="274">
        <v>1</v>
      </c>
      <c r="C21" s="274" t="s">
        <v>545</v>
      </c>
      <c r="D21" s="275">
        <f>3.32*2.415</f>
        <v>8.0177999999999994</v>
      </c>
      <c r="E21" s="275">
        <f t="shared" si="0"/>
        <v>8.0177999999999994</v>
      </c>
      <c r="F21" s="274"/>
      <c r="G21" s="274" t="s">
        <v>534</v>
      </c>
      <c r="H21" s="274" t="s">
        <v>535</v>
      </c>
      <c r="I21" s="276" t="s">
        <v>542</v>
      </c>
      <c r="J21" s="274"/>
    </row>
    <row r="22" spans="1:10" x14ac:dyDescent="0.25">
      <c r="A22" s="274">
        <v>20</v>
      </c>
      <c r="B22" s="274">
        <v>1</v>
      </c>
      <c r="C22" s="274" t="s">
        <v>553</v>
      </c>
      <c r="D22" s="275">
        <f>6.78*2.47</f>
        <v>16.746600000000001</v>
      </c>
      <c r="E22" s="275">
        <f t="shared" si="0"/>
        <v>16.746600000000001</v>
      </c>
      <c r="F22" s="274"/>
      <c r="G22" s="274" t="s">
        <v>534</v>
      </c>
      <c r="H22" s="274" t="s">
        <v>535</v>
      </c>
      <c r="I22" s="276" t="s">
        <v>542</v>
      </c>
      <c r="J22" s="274"/>
    </row>
    <row r="23" spans="1:10" x14ac:dyDescent="0.25">
      <c r="A23" s="274">
        <v>21</v>
      </c>
      <c r="B23" s="274">
        <v>1</v>
      </c>
      <c r="C23" s="274" t="s">
        <v>554</v>
      </c>
      <c r="D23" s="275">
        <f>3.98*3.345</f>
        <v>13.3131</v>
      </c>
      <c r="E23" s="275">
        <f t="shared" si="0"/>
        <v>13.3131</v>
      </c>
      <c r="F23" s="274"/>
      <c r="G23" s="274" t="s">
        <v>534</v>
      </c>
      <c r="H23" s="274" t="s">
        <v>535</v>
      </c>
      <c r="I23" s="276" t="s">
        <v>540</v>
      </c>
      <c r="J23" s="274" t="s">
        <v>538</v>
      </c>
    </row>
    <row r="24" spans="1:10" x14ac:dyDescent="0.25">
      <c r="A24" s="274">
        <v>22</v>
      </c>
      <c r="B24" s="274">
        <v>1</v>
      </c>
      <c r="C24" s="274" t="s">
        <v>555</v>
      </c>
      <c r="D24" s="275">
        <f>1.565*3.38</f>
        <v>5.2896999999999998</v>
      </c>
      <c r="E24" s="275">
        <f t="shared" si="0"/>
        <v>5.2896999999999998</v>
      </c>
      <c r="F24" s="274"/>
      <c r="G24" s="274" t="s">
        <v>534</v>
      </c>
      <c r="H24" s="274" t="s">
        <v>535</v>
      </c>
      <c r="I24" s="276" t="s">
        <v>536</v>
      </c>
      <c r="J24" s="274"/>
    </row>
    <row r="25" spans="1:10" x14ac:dyDescent="0.25">
      <c r="A25" s="274">
        <v>23</v>
      </c>
      <c r="B25" s="274">
        <v>2</v>
      </c>
      <c r="C25" s="274" t="s">
        <v>556</v>
      </c>
      <c r="D25" s="275">
        <f>2.82*2.415</f>
        <v>6.8102999999999998</v>
      </c>
      <c r="E25" s="275">
        <f t="shared" si="0"/>
        <v>13.6206</v>
      </c>
      <c r="F25" s="274"/>
      <c r="G25" s="274" t="s">
        <v>534</v>
      </c>
      <c r="H25" s="274" t="s">
        <v>535</v>
      </c>
      <c r="I25" s="276" t="s">
        <v>540</v>
      </c>
      <c r="J25" s="274" t="s">
        <v>538</v>
      </c>
    </row>
    <row r="26" spans="1:10" x14ac:dyDescent="0.25">
      <c r="A26" s="274">
        <v>24</v>
      </c>
      <c r="B26" s="274">
        <v>3</v>
      </c>
      <c r="C26" s="274" t="s">
        <v>556</v>
      </c>
      <c r="D26" s="275">
        <f>2.82*2.415</f>
        <v>6.8102999999999998</v>
      </c>
      <c r="E26" s="275">
        <f t="shared" si="0"/>
        <v>20.430900000000001</v>
      </c>
      <c r="F26" s="274"/>
      <c r="G26" s="274" t="s">
        <v>534</v>
      </c>
      <c r="H26" s="274" t="s">
        <v>535</v>
      </c>
      <c r="I26" s="276" t="s">
        <v>536</v>
      </c>
      <c r="J26" s="274"/>
    </row>
    <row r="27" spans="1:10" x14ac:dyDescent="0.25">
      <c r="A27" s="274">
        <v>25</v>
      </c>
      <c r="B27" s="274">
        <v>1</v>
      </c>
      <c r="C27" s="274" t="s">
        <v>557</v>
      </c>
      <c r="D27" s="275">
        <f>5.07*2.415</f>
        <v>12.244050000000001</v>
      </c>
      <c r="E27" s="275">
        <f t="shared" si="0"/>
        <v>12.244050000000001</v>
      </c>
      <c r="F27" s="274"/>
      <c r="G27" s="274" t="s">
        <v>534</v>
      </c>
      <c r="H27" s="274" t="s">
        <v>535</v>
      </c>
      <c r="I27" s="276" t="s">
        <v>536</v>
      </c>
      <c r="J27" s="274"/>
    </row>
    <row r="28" spans="1:10" x14ac:dyDescent="0.25">
      <c r="A28" s="274">
        <v>26</v>
      </c>
      <c r="B28" s="274">
        <v>1</v>
      </c>
      <c r="C28" s="274" t="s">
        <v>558</v>
      </c>
      <c r="D28" s="275">
        <f>13.4175*2.415</f>
        <v>32.403262500000004</v>
      </c>
      <c r="E28" s="275">
        <f t="shared" si="0"/>
        <v>32.403262500000004</v>
      </c>
      <c r="F28" s="274"/>
      <c r="G28" s="274" t="s">
        <v>534</v>
      </c>
      <c r="H28" s="274" t="s">
        <v>535</v>
      </c>
      <c r="I28" s="276">
        <f>2.23*2.415*3</f>
        <v>16.15635</v>
      </c>
      <c r="J28" s="274" t="s">
        <v>538</v>
      </c>
    </row>
    <row r="29" spans="1:10" x14ac:dyDescent="0.25">
      <c r="A29" s="274">
        <v>27</v>
      </c>
      <c r="B29" s="274">
        <v>1</v>
      </c>
      <c r="C29" s="274" t="s">
        <v>559</v>
      </c>
      <c r="D29" s="275">
        <f>9.025*3.36</f>
        <v>30.324000000000002</v>
      </c>
      <c r="E29" s="275">
        <f t="shared" si="0"/>
        <v>30.324000000000002</v>
      </c>
      <c r="F29" s="274"/>
      <c r="G29" s="274" t="s">
        <v>534</v>
      </c>
      <c r="H29" s="274" t="s">
        <v>535</v>
      </c>
      <c r="I29" s="276" t="s">
        <v>536</v>
      </c>
      <c r="J29" s="274"/>
    </row>
    <row r="30" spans="1:10" x14ac:dyDescent="0.25">
      <c r="A30" s="274">
        <v>28</v>
      </c>
      <c r="B30" s="274">
        <v>1</v>
      </c>
      <c r="C30" s="274" t="s">
        <v>560</v>
      </c>
      <c r="D30" s="275">
        <f>3.425*3.36</f>
        <v>11.507999999999999</v>
      </c>
      <c r="E30" s="275">
        <f t="shared" si="0"/>
        <v>11.507999999999999</v>
      </c>
      <c r="F30" s="274"/>
      <c r="G30" s="274" t="s">
        <v>534</v>
      </c>
      <c r="H30" s="274" t="s">
        <v>535</v>
      </c>
      <c r="I30" s="276" t="s">
        <v>536</v>
      </c>
      <c r="J30" s="274"/>
    </row>
    <row r="31" spans="1:10" x14ac:dyDescent="0.25">
      <c r="A31" s="274">
        <v>29</v>
      </c>
      <c r="B31" s="274">
        <v>1</v>
      </c>
      <c r="C31" s="274" t="s">
        <v>561</v>
      </c>
      <c r="D31" s="275">
        <f>9.325*2.18</f>
        <v>20.328499999999998</v>
      </c>
      <c r="E31" s="275">
        <f t="shared" si="0"/>
        <v>20.328499999999998</v>
      </c>
      <c r="F31" s="274"/>
      <c r="G31" s="274" t="s">
        <v>534</v>
      </c>
      <c r="H31" s="274" t="s">
        <v>535</v>
      </c>
      <c r="I31" s="276" t="s">
        <v>536</v>
      </c>
      <c r="J31" s="274"/>
    </row>
    <row r="32" spans="1:10" x14ac:dyDescent="0.25">
      <c r="A32" s="274">
        <v>30</v>
      </c>
      <c r="B32" s="274">
        <v>1</v>
      </c>
      <c r="C32" s="274" t="s">
        <v>562</v>
      </c>
      <c r="D32" s="275">
        <f>3.47*3.36</f>
        <v>11.6592</v>
      </c>
      <c r="E32" s="275">
        <f t="shared" si="0"/>
        <v>11.6592</v>
      </c>
      <c r="F32" s="274"/>
      <c r="G32" s="274" t="s">
        <v>534</v>
      </c>
      <c r="H32" s="274" t="s">
        <v>535</v>
      </c>
      <c r="I32" s="276" t="s">
        <v>540</v>
      </c>
      <c r="J32" s="274" t="s">
        <v>538</v>
      </c>
    </row>
    <row r="33" spans="1:10" x14ac:dyDescent="0.25">
      <c r="A33" s="274">
        <v>31</v>
      </c>
      <c r="B33" s="274">
        <v>1</v>
      </c>
      <c r="C33" s="274" t="s">
        <v>563</v>
      </c>
      <c r="D33" s="275">
        <f>6.77*2.18</f>
        <v>14.758599999999999</v>
      </c>
      <c r="E33" s="275">
        <f t="shared" si="0"/>
        <v>14.758599999999999</v>
      </c>
      <c r="F33" s="274"/>
      <c r="G33" s="274" t="s">
        <v>534</v>
      </c>
      <c r="H33" s="274" t="s">
        <v>535</v>
      </c>
      <c r="I33" s="276" t="s">
        <v>536</v>
      </c>
      <c r="J33" s="274"/>
    </row>
    <row r="34" spans="1:10" x14ac:dyDescent="0.25">
      <c r="A34" s="274">
        <v>32</v>
      </c>
      <c r="B34" s="274">
        <v>1</v>
      </c>
      <c r="C34" s="274" t="s">
        <v>564</v>
      </c>
      <c r="D34" s="275">
        <f>3.015*3.64</f>
        <v>10.974600000000001</v>
      </c>
      <c r="E34" s="275">
        <f t="shared" si="0"/>
        <v>10.974600000000001</v>
      </c>
      <c r="F34" s="274" t="s">
        <v>565</v>
      </c>
      <c r="G34" s="274" t="s">
        <v>534</v>
      </c>
      <c r="H34" s="274" t="s">
        <v>535</v>
      </c>
      <c r="I34" s="276" t="s">
        <v>536</v>
      </c>
      <c r="J34" s="274"/>
    </row>
    <row r="35" spans="1:10" x14ac:dyDescent="0.25">
      <c r="A35" s="274">
        <v>33</v>
      </c>
      <c r="B35" s="274">
        <v>1</v>
      </c>
      <c r="C35" s="274" t="s">
        <v>566</v>
      </c>
      <c r="D35" s="275">
        <f>11.47*3.33</f>
        <v>38.195100000000004</v>
      </c>
      <c r="E35" s="275">
        <f t="shared" si="0"/>
        <v>38.195100000000004</v>
      </c>
      <c r="F35" s="274"/>
      <c r="G35" s="274" t="s">
        <v>534</v>
      </c>
      <c r="H35" s="274" t="s">
        <v>535</v>
      </c>
      <c r="I35" s="276" t="s">
        <v>536</v>
      </c>
      <c r="J35" s="274"/>
    </row>
    <row r="36" spans="1:10" x14ac:dyDescent="0.25">
      <c r="A36" s="274">
        <v>34</v>
      </c>
      <c r="B36" s="274">
        <v>1</v>
      </c>
      <c r="C36" s="274" t="s">
        <v>567</v>
      </c>
      <c r="D36" s="275">
        <f>10.835*3.34</f>
        <v>36.188900000000004</v>
      </c>
      <c r="E36" s="275">
        <f t="shared" si="0"/>
        <v>36.188900000000004</v>
      </c>
      <c r="F36" s="274"/>
      <c r="G36" s="274" t="s">
        <v>534</v>
      </c>
      <c r="H36" s="274" t="s">
        <v>535</v>
      </c>
      <c r="I36" s="276" t="s">
        <v>536</v>
      </c>
      <c r="J36" s="274"/>
    </row>
    <row r="37" spans="1:10" x14ac:dyDescent="0.25">
      <c r="A37" s="274">
        <v>35</v>
      </c>
      <c r="B37" s="274">
        <v>1</v>
      </c>
      <c r="C37" s="274" t="s">
        <v>568</v>
      </c>
      <c r="D37" s="275">
        <f>2.525*3.33</f>
        <v>8.4082500000000007</v>
      </c>
      <c r="E37" s="275">
        <f t="shared" si="0"/>
        <v>8.4082500000000007</v>
      </c>
      <c r="F37" s="274"/>
      <c r="G37" s="274" t="s">
        <v>534</v>
      </c>
      <c r="H37" s="274" t="s">
        <v>535</v>
      </c>
      <c r="I37" s="276" t="s">
        <v>536</v>
      </c>
      <c r="J37" s="274"/>
    </row>
    <row r="38" spans="1:10" x14ac:dyDescent="0.25">
      <c r="A38" s="274">
        <v>36</v>
      </c>
      <c r="B38" s="274">
        <v>1</v>
      </c>
      <c r="C38" s="274" t="s">
        <v>569</v>
      </c>
      <c r="D38" s="275">
        <f>3.705*3.33</f>
        <v>12.33765</v>
      </c>
      <c r="E38" s="275">
        <f t="shared" si="0"/>
        <v>12.33765</v>
      </c>
      <c r="F38" s="274"/>
      <c r="G38" s="274" t="s">
        <v>534</v>
      </c>
      <c r="H38" s="274" t="s">
        <v>535</v>
      </c>
      <c r="I38" s="276" t="s">
        <v>536</v>
      </c>
      <c r="J38" s="274"/>
    </row>
    <row r="39" spans="1:10" x14ac:dyDescent="0.25">
      <c r="A39" s="274">
        <v>37</v>
      </c>
      <c r="B39" s="274">
        <v>1</v>
      </c>
      <c r="C39" s="274" t="s">
        <v>570</v>
      </c>
      <c r="D39" s="275">
        <f>10.48*3.33</f>
        <v>34.898400000000002</v>
      </c>
      <c r="E39" s="275">
        <f t="shared" si="0"/>
        <v>34.898400000000002</v>
      </c>
      <c r="F39" s="274"/>
      <c r="G39" s="274" t="s">
        <v>534</v>
      </c>
      <c r="H39" s="274" t="s">
        <v>535</v>
      </c>
      <c r="I39" s="276" t="s">
        <v>536</v>
      </c>
      <c r="J39" s="274"/>
    </row>
    <row r="40" spans="1:10" x14ac:dyDescent="0.25">
      <c r="A40" s="274">
        <v>38</v>
      </c>
      <c r="B40" s="274">
        <v>1</v>
      </c>
      <c r="C40" s="274" t="s">
        <v>571</v>
      </c>
      <c r="D40" s="275">
        <f>11.66*2.835+3.45*3.6</f>
        <v>45.476100000000002</v>
      </c>
      <c r="E40" s="275">
        <f t="shared" si="0"/>
        <v>45.476100000000002</v>
      </c>
      <c r="F40" s="274"/>
      <c r="G40" s="274" t="s">
        <v>534</v>
      </c>
      <c r="H40" s="274" t="s">
        <v>535</v>
      </c>
      <c r="I40" s="276" t="s">
        <v>540</v>
      </c>
      <c r="J40" s="274" t="s">
        <v>538</v>
      </c>
    </row>
    <row r="41" spans="1:10" x14ac:dyDescent="0.25">
      <c r="A41" s="274">
        <v>39</v>
      </c>
      <c r="B41" s="274">
        <v>1</v>
      </c>
      <c r="C41" s="274" t="s">
        <v>572</v>
      </c>
      <c r="D41" s="275">
        <f>4.01*2.435</f>
        <v>9.7643500000000003</v>
      </c>
      <c r="E41" s="275">
        <f t="shared" si="0"/>
        <v>9.7643500000000003</v>
      </c>
      <c r="F41" s="274"/>
      <c r="G41" s="274" t="s">
        <v>534</v>
      </c>
      <c r="H41" s="274" t="s">
        <v>535</v>
      </c>
      <c r="I41" s="276" t="s">
        <v>536</v>
      </c>
      <c r="J41" s="274"/>
    </row>
    <row r="42" spans="1:10" x14ac:dyDescent="0.25">
      <c r="A42" s="274">
        <v>40</v>
      </c>
      <c r="B42" s="274">
        <v>1</v>
      </c>
      <c r="C42" s="274" t="s">
        <v>573</v>
      </c>
      <c r="D42" s="275">
        <f>11.75*3.42</f>
        <v>40.185000000000002</v>
      </c>
      <c r="E42" s="275">
        <f t="shared" si="0"/>
        <v>40.185000000000002</v>
      </c>
      <c r="F42" s="274"/>
      <c r="G42" s="274" t="s">
        <v>534</v>
      </c>
      <c r="H42" s="274" t="s">
        <v>535</v>
      </c>
      <c r="I42" s="276" t="s">
        <v>536</v>
      </c>
      <c r="J42" s="274"/>
    </row>
    <row r="43" spans="1:10" x14ac:dyDescent="0.25">
      <c r="A43" s="274">
        <v>41</v>
      </c>
      <c r="B43" s="274">
        <v>1</v>
      </c>
      <c r="C43" s="274" t="s">
        <v>574</v>
      </c>
      <c r="D43" s="275">
        <f>4.11*3.43</f>
        <v>14.097300000000002</v>
      </c>
      <c r="E43" s="275">
        <f t="shared" si="0"/>
        <v>14.097300000000002</v>
      </c>
      <c r="F43" s="274"/>
      <c r="G43" s="274" t="s">
        <v>534</v>
      </c>
      <c r="H43" s="274" t="s">
        <v>535</v>
      </c>
      <c r="I43" s="276" t="s">
        <v>536</v>
      </c>
      <c r="J43" s="274"/>
    </row>
    <row r="44" spans="1:10" x14ac:dyDescent="0.25">
      <c r="A44" s="274">
        <v>42</v>
      </c>
      <c r="B44" s="274">
        <v>1</v>
      </c>
      <c r="C44" s="274" t="s">
        <v>575</v>
      </c>
      <c r="D44" s="275">
        <f>1.96*1.96</f>
        <v>3.8415999999999997</v>
      </c>
      <c r="E44" s="275">
        <f t="shared" si="0"/>
        <v>3.8415999999999997</v>
      </c>
      <c r="F44" s="274"/>
      <c r="G44" s="274"/>
      <c r="H44" s="274"/>
      <c r="I44" s="276"/>
      <c r="J44" s="274"/>
    </row>
    <row r="45" spans="1:10" x14ac:dyDescent="0.25">
      <c r="A45" s="274">
        <v>43</v>
      </c>
      <c r="B45" s="274">
        <v>3</v>
      </c>
      <c r="C45" s="274" t="s">
        <v>576</v>
      </c>
      <c r="D45" s="275">
        <f>3.605*2.995</f>
        <v>10.796975</v>
      </c>
      <c r="E45" s="275">
        <f t="shared" si="0"/>
        <v>32.390924999999996</v>
      </c>
      <c r="F45" s="274"/>
      <c r="G45" s="274" t="s">
        <v>534</v>
      </c>
      <c r="H45" s="274" t="s">
        <v>535</v>
      </c>
      <c r="I45" s="276" t="s">
        <v>536</v>
      </c>
      <c r="J45" s="274"/>
    </row>
    <row r="46" spans="1:10" x14ac:dyDescent="0.25">
      <c r="A46" s="274">
        <v>44</v>
      </c>
      <c r="B46" s="274">
        <v>3</v>
      </c>
      <c r="C46" s="274" t="s">
        <v>577</v>
      </c>
      <c r="D46" s="275">
        <f>3.35*2.96</f>
        <v>9.9160000000000004</v>
      </c>
      <c r="E46" s="275">
        <f t="shared" si="0"/>
        <v>29.748000000000001</v>
      </c>
      <c r="F46" s="274"/>
      <c r="G46" s="274" t="s">
        <v>534</v>
      </c>
      <c r="H46" s="274" t="s">
        <v>535</v>
      </c>
      <c r="I46" s="276" t="s">
        <v>536</v>
      </c>
      <c r="J46" s="274"/>
    </row>
    <row r="47" spans="1:10" x14ac:dyDescent="0.25">
      <c r="A47" s="274">
        <v>45</v>
      </c>
      <c r="B47" s="274">
        <v>26</v>
      </c>
      <c r="C47" s="274" t="s">
        <v>578</v>
      </c>
      <c r="D47" s="275">
        <f>3.31*2.96</f>
        <v>9.7975999999999992</v>
      </c>
      <c r="E47" s="275">
        <f t="shared" si="0"/>
        <v>254.73759999999999</v>
      </c>
      <c r="F47" s="274"/>
      <c r="G47" s="274" t="s">
        <v>534</v>
      </c>
      <c r="H47" s="274" t="s">
        <v>535</v>
      </c>
      <c r="I47" s="276" t="s">
        <v>536</v>
      </c>
      <c r="J47" s="274"/>
    </row>
    <row r="48" spans="1:10" x14ac:dyDescent="0.25">
      <c r="A48" s="274">
        <v>46</v>
      </c>
      <c r="B48" s="274">
        <v>44</v>
      </c>
      <c r="C48" s="274" t="s">
        <v>578</v>
      </c>
      <c r="D48" s="275">
        <f>3.31*2.96</f>
        <v>9.7975999999999992</v>
      </c>
      <c r="E48" s="275">
        <f t="shared" si="0"/>
        <v>431.09439999999995</v>
      </c>
      <c r="F48" s="274"/>
      <c r="G48" s="274" t="s">
        <v>534</v>
      </c>
      <c r="H48" s="274" t="s">
        <v>535</v>
      </c>
      <c r="I48" s="276" t="s">
        <v>536</v>
      </c>
      <c r="J48" s="274"/>
    </row>
    <row r="49" spans="1:10" x14ac:dyDescent="0.25">
      <c r="A49" s="274">
        <v>47</v>
      </c>
      <c r="B49" s="274">
        <v>37</v>
      </c>
      <c r="C49" s="274" t="s">
        <v>578</v>
      </c>
      <c r="D49" s="275">
        <f>3.31*2.96</f>
        <v>9.7975999999999992</v>
      </c>
      <c r="E49" s="275">
        <f t="shared" si="0"/>
        <v>362.51119999999997</v>
      </c>
      <c r="F49" s="274"/>
      <c r="G49" s="274" t="s">
        <v>534</v>
      </c>
      <c r="H49" s="274" t="s">
        <v>535</v>
      </c>
      <c r="I49" s="276" t="s">
        <v>536</v>
      </c>
      <c r="J49" s="274"/>
    </row>
    <row r="50" spans="1:10" x14ac:dyDescent="0.25">
      <c r="A50" s="274">
        <v>48</v>
      </c>
      <c r="B50" s="274">
        <v>3</v>
      </c>
      <c r="C50" s="274" t="s">
        <v>578</v>
      </c>
      <c r="D50" s="275">
        <f>3.31*2.96</f>
        <v>9.7975999999999992</v>
      </c>
      <c r="E50" s="275">
        <f t="shared" si="0"/>
        <v>29.392799999999998</v>
      </c>
      <c r="F50" s="274"/>
      <c r="G50" s="274" t="s">
        <v>534</v>
      </c>
      <c r="H50" s="274" t="s">
        <v>535</v>
      </c>
      <c r="I50" s="276" t="s">
        <v>536</v>
      </c>
      <c r="J50" s="274"/>
    </row>
    <row r="51" spans="1:10" x14ac:dyDescent="0.25">
      <c r="A51" s="274">
        <v>49</v>
      </c>
      <c r="B51" s="274">
        <v>6</v>
      </c>
      <c r="C51" s="274" t="s">
        <v>579</v>
      </c>
      <c r="D51" s="275">
        <f>2.535*2.96</f>
        <v>7.5036000000000005</v>
      </c>
      <c r="E51" s="275">
        <f t="shared" si="0"/>
        <v>45.021600000000007</v>
      </c>
      <c r="F51" s="274"/>
      <c r="G51" s="274" t="s">
        <v>534</v>
      </c>
      <c r="H51" s="274" t="s">
        <v>535</v>
      </c>
      <c r="I51" s="276" t="s">
        <v>540</v>
      </c>
      <c r="J51" s="274" t="s">
        <v>538</v>
      </c>
    </row>
    <row r="52" spans="1:10" x14ac:dyDescent="0.25">
      <c r="A52" s="274">
        <v>50</v>
      </c>
      <c r="B52" s="274">
        <v>3</v>
      </c>
      <c r="C52" s="274" t="s">
        <v>580</v>
      </c>
      <c r="D52" s="275">
        <f>2.315*2.96</f>
        <v>6.8523999999999994</v>
      </c>
      <c r="E52" s="275">
        <f t="shared" si="0"/>
        <v>20.557199999999998</v>
      </c>
      <c r="F52" s="274"/>
      <c r="G52" s="274" t="s">
        <v>534</v>
      </c>
      <c r="H52" s="274" t="s">
        <v>535</v>
      </c>
      <c r="I52" s="276" t="s">
        <v>540</v>
      </c>
      <c r="J52" s="274" t="s">
        <v>538</v>
      </c>
    </row>
    <row r="53" spans="1:10" x14ac:dyDescent="0.25">
      <c r="A53" s="274">
        <v>51</v>
      </c>
      <c r="B53" s="274">
        <v>15</v>
      </c>
      <c r="C53" s="274" t="s">
        <v>577</v>
      </c>
      <c r="D53" s="275">
        <f>3.35*2.96</f>
        <v>9.9160000000000004</v>
      </c>
      <c r="E53" s="275">
        <f t="shared" si="0"/>
        <v>148.74</v>
      </c>
      <c r="F53" s="274"/>
      <c r="G53" s="274" t="s">
        <v>534</v>
      </c>
      <c r="H53" s="274" t="s">
        <v>535</v>
      </c>
      <c r="I53" s="276" t="s">
        <v>536</v>
      </c>
      <c r="J53" s="274"/>
    </row>
    <row r="54" spans="1:10" x14ac:dyDescent="0.25">
      <c r="A54" s="274">
        <v>52</v>
      </c>
      <c r="B54" s="274">
        <v>6</v>
      </c>
      <c r="C54" s="274" t="s">
        <v>581</v>
      </c>
      <c r="D54" s="275">
        <f>2.51*2.995</f>
        <v>7.5174499999999993</v>
      </c>
      <c r="E54" s="275">
        <f t="shared" si="0"/>
        <v>45.104699999999994</v>
      </c>
      <c r="F54" s="274"/>
      <c r="G54" s="274" t="s">
        <v>534</v>
      </c>
      <c r="H54" s="274" t="s">
        <v>535</v>
      </c>
      <c r="I54" s="276" t="s">
        <v>536</v>
      </c>
      <c r="J54" s="274"/>
    </row>
    <row r="55" spans="1:10" x14ac:dyDescent="0.25">
      <c r="A55" s="274">
        <v>53</v>
      </c>
      <c r="B55" s="274">
        <v>6</v>
      </c>
      <c r="C55" s="274" t="s">
        <v>582</v>
      </c>
      <c r="D55" s="275">
        <f>6.27*2.945</f>
        <v>18.465149999999998</v>
      </c>
      <c r="E55" s="275">
        <f t="shared" si="0"/>
        <v>110.79089999999999</v>
      </c>
      <c r="F55" s="274"/>
      <c r="G55" s="274" t="s">
        <v>534</v>
      </c>
      <c r="H55" s="274" t="s">
        <v>535</v>
      </c>
      <c r="I55" s="276" t="s">
        <v>536</v>
      </c>
      <c r="J55" s="274"/>
    </row>
    <row r="56" spans="1:10" x14ac:dyDescent="0.25">
      <c r="A56" s="274">
        <v>54</v>
      </c>
      <c r="B56" s="274">
        <v>3</v>
      </c>
      <c r="C56" s="274" t="s">
        <v>583</v>
      </c>
      <c r="D56" s="275">
        <f>6.84*2.945</f>
        <v>20.143799999999999</v>
      </c>
      <c r="E56" s="275">
        <f t="shared" si="0"/>
        <v>60.431399999999996</v>
      </c>
      <c r="F56" s="274"/>
      <c r="G56" s="274" t="s">
        <v>534</v>
      </c>
      <c r="H56" s="274" t="s">
        <v>535</v>
      </c>
      <c r="I56" s="276" t="s">
        <v>536</v>
      </c>
      <c r="J56" s="274"/>
    </row>
    <row r="57" spans="1:10" x14ac:dyDescent="0.25">
      <c r="A57" s="274">
        <v>55</v>
      </c>
      <c r="B57" s="274">
        <v>9</v>
      </c>
      <c r="C57" s="274" t="s">
        <v>578</v>
      </c>
      <c r="D57" s="275">
        <f>3.31*2.96</f>
        <v>9.7975999999999992</v>
      </c>
      <c r="E57" s="275">
        <f t="shared" si="0"/>
        <v>88.178399999999996</v>
      </c>
      <c r="F57" s="274"/>
      <c r="G57" s="274" t="s">
        <v>534</v>
      </c>
      <c r="H57" s="274" t="s">
        <v>535</v>
      </c>
      <c r="I57" s="276" t="s">
        <v>536</v>
      </c>
      <c r="J57" s="274"/>
    </row>
    <row r="58" spans="1:10" x14ac:dyDescent="0.25">
      <c r="A58" s="274">
        <v>56</v>
      </c>
      <c r="B58" s="274">
        <v>12</v>
      </c>
      <c r="C58" s="274" t="s">
        <v>578</v>
      </c>
      <c r="D58" s="275">
        <f>3.31*2.96</f>
        <v>9.7975999999999992</v>
      </c>
      <c r="E58" s="275">
        <f t="shared" si="0"/>
        <v>117.57119999999999</v>
      </c>
      <c r="F58" s="274"/>
      <c r="G58" s="274" t="s">
        <v>534</v>
      </c>
      <c r="H58" s="274" t="s">
        <v>535</v>
      </c>
      <c r="I58" s="276" t="s">
        <v>536</v>
      </c>
      <c r="J58" s="274"/>
    </row>
    <row r="59" spans="1:10" x14ac:dyDescent="0.25">
      <c r="A59" s="274">
        <v>57</v>
      </c>
      <c r="B59" s="274">
        <v>3</v>
      </c>
      <c r="C59" s="274" t="s">
        <v>584</v>
      </c>
      <c r="D59" s="275">
        <f>4.13*2.975</f>
        <v>12.28675</v>
      </c>
      <c r="E59" s="275">
        <f t="shared" si="0"/>
        <v>36.860250000000001</v>
      </c>
      <c r="F59" s="274"/>
      <c r="G59" s="274" t="s">
        <v>534</v>
      </c>
      <c r="H59" s="274" t="s">
        <v>535</v>
      </c>
      <c r="I59" s="276" t="s">
        <v>536</v>
      </c>
      <c r="J59" s="274"/>
    </row>
    <row r="60" spans="1:10" x14ac:dyDescent="0.25">
      <c r="A60" s="274">
        <v>58</v>
      </c>
      <c r="B60" s="274">
        <v>1</v>
      </c>
      <c r="C60" s="274" t="s">
        <v>585</v>
      </c>
      <c r="D60" s="275">
        <f>4.73*2.92</f>
        <v>13.8116</v>
      </c>
      <c r="E60" s="275">
        <f t="shared" si="0"/>
        <v>13.8116</v>
      </c>
      <c r="F60" s="274"/>
      <c r="G60" s="274" t="s">
        <v>534</v>
      </c>
      <c r="H60" s="274" t="s">
        <v>535</v>
      </c>
      <c r="I60" s="276" t="s">
        <v>536</v>
      </c>
      <c r="J60" s="274"/>
    </row>
    <row r="61" spans="1:10" x14ac:dyDescent="0.25">
      <c r="A61" s="274">
        <v>59</v>
      </c>
      <c r="B61" s="274">
        <v>1</v>
      </c>
      <c r="C61" s="274" t="s">
        <v>586</v>
      </c>
      <c r="D61" s="275">
        <f>3.32*2.96</f>
        <v>9.8271999999999995</v>
      </c>
      <c r="E61" s="275">
        <f t="shared" si="0"/>
        <v>9.8271999999999995</v>
      </c>
      <c r="F61" s="274"/>
      <c r="G61" s="274" t="s">
        <v>534</v>
      </c>
      <c r="H61" s="274" t="s">
        <v>535</v>
      </c>
      <c r="I61" s="276">
        <f>1.63*2.805</f>
        <v>4.5721499999999997</v>
      </c>
      <c r="J61" s="274" t="s">
        <v>538</v>
      </c>
    </row>
    <row r="62" spans="1:10" x14ac:dyDescent="0.25">
      <c r="A62" s="274">
        <v>60</v>
      </c>
      <c r="B62" s="274">
        <v>1</v>
      </c>
      <c r="C62" s="274" t="s">
        <v>587</v>
      </c>
      <c r="D62" s="275">
        <f>2.62*2.995</f>
        <v>7.8469000000000007</v>
      </c>
      <c r="E62" s="275">
        <f t="shared" si="0"/>
        <v>7.8469000000000007</v>
      </c>
      <c r="F62" s="274"/>
      <c r="G62" s="274" t="s">
        <v>534</v>
      </c>
      <c r="H62" s="274" t="s">
        <v>535</v>
      </c>
      <c r="I62" s="276" t="s">
        <v>536</v>
      </c>
      <c r="J62" s="274"/>
    </row>
    <row r="63" spans="1:10" x14ac:dyDescent="0.25">
      <c r="A63" s="274">
        <v>61</v>
      </c>
      <c r="B63" s="274">
        <v>3</v>
      </c>
      <c r="C63" s="274" t="s">
        <v>586</v>
      </c>
      <c r="D63" s="275">
        <f>3.32*2.96</f>
        <v>9.8271999999999995</v>
      </c>
      <c r="E63" s="275">
        <f t="shared" si="0"/>
        <v>29.4816</v>
      </c>
      <c r="F63" s="274"/>
      <c r="G63" s="274" t="s">
        <v>534</v>
      </c>
      <c r="H63" s="274" t="s">
        <v>535</v>
      </c>
      <c r="I63" s="276">
        <f>1.63*2.96</f>
        <v>4.8247999999999998</v>
      </c>
      <c r="J63" s="274" t="s">
        <v>538</v>
      </c>
    </row>
    <row r="64" spans="1:10" x14ac:dyDescent="0.25">
      <c r="A64" s="274">
        <v>62</v>
      </c>
      <c r="B64" s="274">
        <v>1</v>
      </c>
      <c r="C64" s="274" t="s">
        <v>588</v>
      </c>
      <c r="D64" s="275">
        <f>4.13*2.995</f>
        <v>12.369350000000001</v>
      </c>
      <c r="E64" s="275">
        <f t="shared" si="0"/>
        <v>12.369350000000001</v>
      </c>
      <c r="F64" s="274"/>
      <c r="G64" s="274" t="s">
        <v>534</v>
      </c>
      <c r="H64" s="274" t="s">
        <v>535</v>
      </c>
      <c r="I64" s="276" t="s">
        <v>536</v>
      </c>
      <c r="J64" s="274"/>
    </row>
    <row r="65" spans="1:10" x14ac:dyDescent="0.25">
      <c r="A65" s="274">
        <v>63</v>
      </c>
      <c r="B65" s="274">
        <v>5</v>
      </c>
      <c r="C65" s="274" t="s">
        <v>589</v>
      </c>
      <c r="D65" s="275">
        <f>4.73*2.995</f>
        <v>14.166350000000001</v>
      </c>
      <c r="E65" s="275">
        <f t="shared" si="0"/>
        <v>70.83175</v>
      </c>
      <c r="F65" s="274"/>
      <c r="G65" s="274" t="s">
        <v>534</v>
      </c>
      <c r="H65" s="274" t="s">
        <v>535</v>
      </c>
      <c r="I65" s="276" t="s">
        <v>536</v>
      </c>
      <c r="J65" s="274"/>
    </row>
    <row r="66" spans="1:10" x14ac:dyDescent="0.25">
      <c r="A66" s="274">
        <v>64</v>
      </c>
      <c r="B66" s="274">
        <v>2</v>
      </c>
      <c r="C66" s="274" t="s">
        <v>589</v>
      </c>
      <c r="D66" s="275">
        <f>4.73*2.995</f>
        <v>14.166350000000001</v>
      </c>
      <c r="E66" s="275">
        <f t="shared" si="0"/>
        <v>28.332700000000003</v>
      </c>
      <c r="F66" s="274"/>
      <c r="G66" s="274" t="s">
        <v>534</v>
      </c>
      <c r="H66" s="274" t="s">
        <v>535</v>
      </c>
      <c r="I66" s="276" t="s">
        <v>536</v>
      </c>
      <c r="J66" s="274"/>
    </row>
    <row r="67" spans="1:10" x14ac:dyDescent="0.25">
      <c r="A67" s="274">
        <v>65</v>
      </c>
      <c r="B67" s="274">
        <v>3</v>
      </c>
      <c r="C67" s="274" t="s">
        <v>590</v>
      </c>
      <c r="D67" s="275">
        <f>7.14*2.925</f>
        <v>20.884499999999999</v>
      </c>
      <c r="E67" s="275">
        <f t="shared" si="0"/>
        <v>62.653499999999994</v>
      </c>
      <c r="F67" s="274"/>
      <c r="G67" s="274" t="s">
        <v>534</v>
      </c>
      <c r="H67" s="274" t="s">
        <v>535</v>
      </c>
      <c r="I67" s="276" t="s">
        <v>536</v>
      </c>
      <c r="J67" s="274"/>
    </row>
    <row r="68" spans="1:10" x14ac:dyDescent="0.25">
      <c r="A68" s="274">
        <v>66</v>
      </c>
      <c r="B68" s="274">
        <v>3</v>
      </c>
      <c r="C68" s="274" t="s">
        <v>591</v>
      </c>
      <c r="D68" s="275">
        <f>3.79*2.96</f>
        <v>11.218400000000001</v>
      </c>
      <c r="E68" s="275">
        <f t="shared" si="0"/>
        <v>33.655200000000001</v>
      </c>
      <c r="F68" s="274"/>
      <c r="G68" s="274" t="s">
        <v>534</v>
      </c>
      <c r="H68" s="274" t="s">
        <v>535</v>
      </c>
      <c r="I68" s="276" t="s">
        <v>536</v>
      </c>
      <c r="J68" s="274"/>
    </row>
    <row r="69" spans="1:10" x14ac:dyDescent="0.25">
      <c r="A69" s="274">
        <v>67</v>
      </c>
      <c r="B69" s="274">
        <v>2</v>
      </c>
      <c r="C69" s="274" t="s">
        <v>584</v>
      </c>
      <c r="D69" s="275">
        <f>4.13*2.975</f>
        <v>12.28675</v>
      </c>
      <c r="E69" s="275">
        <f t="shared" ref="E69:E85" si="1">D69*B69</f>
        <v>24.573499999999999</v>
      </c>
      <c r="F69" s="274"/>
      <c r="G69" s="274" t="s">
        <v>534</v>
      </c>
      <c r="H69" s="274" t="s">
        <v>535</v>
      </c>
      <c r="I69" s="276" t="s">
        <v>536</v>
      </c>
      <c r="J69" s="274"/>
    </row>
    <row r="70" spans="1:10" x14ac:dyDescent="0.25">
      <c r="A70" s="274">
        <v>68</v>
      </c>
      <c r="B70" s="274">
        <v>3</v>
      </c>
      <c r="C70" s="274" t="s">
        <v>592</v>
      </c>
      <c r="D70" s="275">
        <f>2.31*2.96</f>
        <v>6.8376000000000001</v>
      </c>
      <c r="E70" s="275">
        <f t="shared" si="1"/>
        <v>20.512799999999999</v>
      </c>
      <c r="F70" s="274"/>
      <c r="G70" s="274" t="s">
        <v>534</v>
      </c>
      <c r="H70" s="274" t="s">
        <v>535</v>
      </c>
      <c r="I70" s="276" t="s">
        <v>540</v>
      </c>
      <c r="J70" s="274" t="s">
        <v>538</v>
      </c>
    </row>
    <row r="71" spans="1:10" x14ac:dyDescent="0.25">
      <c r="A71" s="274">
        <v>69</v>
      </c>
      <c r="B71" s="274">
        <v>1</v>
      </c>
      <c r="C71" s="274" t="s">
        <v>593</v>
      </c>
      <c r="D71" s="275">
        <f>3.26*2.96</f>
        <v>9.6495999999999995</v>
      </c>
      <c r="E71" s="275">
        <f t="shared" si="1"/>
        <v>9.6495999999999995</v>
      </c>
      <c r="F71" s="274"/>
      <c r="G71" s="274" t="s">
        <v>534</v>
      </c>
      <c r="H71" s="274" t="s">
        <v>535</v>
      </c>
      <c r="I71" s="276" t="s">
        <v>536</v>
      </c>
      <c r="J71" s="274"/>
    </row>
    <row r="72" spans="1:10" x14ac:dyDescent="0.25">
      <c r="A72" s="274">
        <v>70</v>
      </c>
      <c r="B72" s="274">
        <v>1</v>
      </c>
      <c r="C72" s="274" t="s">
        <v>594</v>
      </c>
      <c r="D72" s="275">
        <f>3.395*2.96</f>
        <v>10.049200000000001</v>
      </c>
      <c r="E72" s="275">
        <f t="shared" si="1"/>
        <v>10.049200000000001</v>
      </c>
      <c r="F72" s="274"/>
      <c r="G72" s="274" t="s">
        <v>534</v>
      </c>
      <c r="H72" s="274" t="s">
        <v>535</v>
      </c>
      <c r="I72" s="276" t="s">
        <v>536</v>
      </c>
      <c r="J72" s="274"/>
    </row>
    <row r="73" spans="1:10" x14ac:dyDescent="0.25">
      <c r="A73" s="274">
        <v>71</v>
      </c>
      <c r="B73" s="274">
        <v>3</v>
      </c>
      <c r="C73" s="274" t="s">
        <v>595</v>
      </c>
      <c r="D73" s="275">
        <f>3.56*2.995</f>
        <v>10.6622</v>
      </c>
      <c r="E73" s="275">
        <f t="shared" si="1"/>
        <v>31.986600000000003</v>
      </c>
      <c r="F73" s="274"/>
      <c r="G73" s="274" t="s">
        <v>534</v>
      </c>
      <c r="H73" s="274" t="s">
        <v>535</v>
      </c>
      <c r="I73" s="276" t="s">
        <v>536</v>
      </c>
      <c r="J73" s="274"/>
    </row>
    <row r="74" spans="1:10" x14ac:dyDescent="0.25">
      <c r="A74" s="274">
        <v>72</v>
      </c>
      <c r="B74" s="274">
        <v>3</v>
      </c>
      <c r="C74" s="274" t="s">
        <v>586</v>
      </c>
      <c r="D74" s="275">
        <f>3.32*2.96</f>
        <v>9.8271999999999995</v>
      </c>
      <c r="E74" s="275">
        <f t="shared" si="1"/>
        <v>29.4816</v>
      </c>
      <c r="F74" s="274"/>
      <c r="G74" s="274" t="s">
        <v>534</v>
      </c>
      <c r="H74" s="274" t="s">
        <v>535</v>
      </c>
      <c r="I74" s="276">
        <f>1.63*2.96</f>
        <v>4.8247999999999998</v>
      </c>
      <c r="J74" s="274" t="s">
        <v>538</v>
      </c>
    </row>
    <row r="75" spans="1:10" x14ac:dyDescent="0.25">
      <c r="A75" s="274">
        <v>73</v>
      </c>
      <c r="B75" s="274">
        <v>1</v>
      </c>
      <c r="C75" s="274" t="s">
        <v>589</v>
      </c>
      <c r="D75" s="275">
        <f>4.73*2.995</f>
        <v>14.166350000000001</v>
      </c>
      <c r="E75" s="275">
        <f t="shared" si="1"/>
        <v>14.166350000000001</v>
      </c>
      <c r="F75" s="274"/>
      <c r="G75" s="274" t="s">
        <v>534</v>
      </c>
      <c r="H75" s="274" t="s">
        <v>535</v>
      </c>
      <c r="I75" s="276" t="s">
        <v>536</v>
      </c>
      <c r="J75" s="274"/>
    </row>
    <row r="76" spans="1:10" x14ac:dyDescent="0.25">
      <c r="A76" s="274">
        <v>74</v>
      </c>
      <c r="B76" s="274">
        <v>3</v>
      </c>
      <c r="C76" s="274" t="s">
        <v>584</v>
      </c>
      <c r="D76" s="275">
        <f>4.13*2.975</f>
        <v>12.28675</v>
      </c>
      <c r="E76" s="275">
        <f t="shared" si="1"/>
        <v>36.860250000000001</v>
      </c>
      <c r="F76" s="274"/>
      <c r="G76" s="274" t="s">
        <v>534</v>
      </c>
      <c r="H76" s="274" t="s">
        <v>535</v>
      </c>
      <c r="I76" s="276" t="s">
        <v>536</v>
      </c>
      <c r="J76" s="274"/>
    </row>
    <row r="77" spans="1:10" x14ac:dyDescent="0.25">
      <c r="A77" s="274">
        <v>75</v>
      </c>
      <c r="B77" s="274">
        <v>1</v>
      </c>
      <c r="C77" s="274" t="s">
        <v>596</v>
      </c>
      <c r="D77" s="275">
        <f>6.486*2.926</f>
        <v>18.978035999999999</v>
      </c>
      <c r="E77" s="275">
        <f t="shared" si="1"/>
        <v>18.978035999999999</v>
      </c>
      <c r="F77" s="274"/>
      <c r="G77" s="274" t="s">
        <v>534</v>
      </c>
      <c r="H77" s="274" t="s">
        <v>535</v>
      </c>
      <c r="I77" s="276" t="s">
        <v>536</v>
      </c>
      <c r="J77" s="274"/>
    </row>
    <row r="78" spans="1:10" x14ac:dyDescent="0.25">
      <c r="A78" s="274">
        <v>76</v>
      </c>
      <c r="B78" s="274">
        <v>2</v>
      </c>
      <c r="C78" s="274" t="s">
        <v>597</v>
      </c>
      <c r="D78" s="275">
        <f>6.84*2.926</f>
        <v>20.013840000000002</v>
      </c>
      <c r="E78" s="275">
        <f t="shared" si="1"/>
        <v>40.027680000000004</v>
      </c>
      <c r="F78" s="274"/>
      <c r="G78" s="274" t="s">
        <v>534</v>
      </c>
      <c r="H78" s="274" t="s">
        <v>535</v>
      </c>
      <c r="I78" s="276" t="s">
        <v>536</v>
      </c>
      <c r="J78" s="274"/>
    </row>
    <row r="79" spans="1:10" x14ac:dyDescent="0.25">
      <c r="A79" s="274">
        <v>77</v>
      </c>
      <c r="B79" s="274">
        <v>2</v>
      </c>
      <c r="C79" s="274" t="s">
        <v>598</v>
      </c>
      <c r="D79" s="275">
        <f>6.265*2.926</f>
        <v>18.331389999999999</v>
      </c>
      <c r="E79" s="275">
        <f t="shared" si="1"/>
        <v>36.662779999999998</v>
      </c>
      <c r="F79" s="274"/>
      <c r="G79" s="274" t="s">
        <v>534</v>
      </c>
      <c r="H79" s="274" t="s">
        <v>535</v>
      </c>
      <c r="I79" s="276" t="s">
        <v>536</v>
      </c>
      <c r="J79" s="274"/>
    </row>
    <row r="80" spans="1:10" x14ac:dyDescent="0.25">
      <c r="A80" s="274">
        <v>78</v>
      </c>
      <c r="B80" s="274">
        <v>2</v>
      </c>
      <c r="C80" s="274" t="s">
        <v>581</v>
      </c>
      <c r="D80" s="275">
        <f>2.51*2.995</f>
        <v>7.5174499999999993</v>
      </c>
      <c r="E80" s="275">
        <f t="shared" si="1"/>
        <v>15.034899999999999</v>
      </c>
      <c r="F80" s="274"/>
      <c r="G80" s="274" t="s">
        <v>534</v>
      </c>
      <c r="H80" s="274" t="s">
        <v>535</v>
      </c>
      <c r="I80" s="276" t="s">
        <v>536</v>
      </c>
      <c r="J80" s="274"/>
    </row>
    <row r="81" spans="1:10" x14ac:dyDescent="0.25">
      <c r="A81" s="274">
        <v>79</v>
      </c>
      <c r="B81" s="274">
        <v>2</v>
      </c>
      <c r="C81" s="274" t="s">
        <v>593</v>
      </c>
      <c r="D81" s="275">
        <f>3.26*2.96</f>
        <v>9.6495999999999995</v>
      </c>
      <c r="E81" s="275">
        <f t="shared" si="1"/>
        <v>19.299199999999999</v>
      </c>
      <c r="F81" s="274"/>
      <c r="G81" s="274" t="s">
        <v>534</v>
      </c>
      <c r="H81" s="274" t="s">
        <v>535</v>
      </c>
      <c r="I81" s="276" t="s">
        <v>536</v>
      </c>
      <c r="J81" s="274"/>
    </row>
    <row r="82" spans="1:10" x14ac:dyDescent="0.25">
      <c r="A82" s="274">
        <v>80</v>
      </c>
      <c r="B82" s="274">
        <v>2</v>
      </c>
      <c r="C82" s="274" t="s">
        <v>599</v>
      </c>
      <c r="D82" s="275">
        <f>2.31*2.935</f>
        <v>6.7798500000000006</v>
      </c>
      <c r="E82" s="275">
        <f t="shared" si="1"/>
        <v>13.559700000000001</v>
      </c>
      <c r="F82" s="274"/>
      <c r="G82" s="274" t="s">
        <v>534</v>
      </c>
      <c r="H82" s="274" t="s">
        <v>535</v>
      </c>
      <c r="I82" s="276" t="s">
        <v>540</v>
      </c>
      <c r="J82" s="274" t="s">
        <v>538</v>
      </c>
    </row>
    <row r="83" spans="1:10" x14ac:dyDescent="0.25">
      <c r="A83" s="274">
        <v>81</v>
      </c>
      <c r="B83" s="274">
        <v>2</v>
      </c>
      <c r="C83" s="274" t="s">
        <v>600</v>
      </c>
      <c r="D83" s="275">
        <f>2.535*2.985</f>
        <v>7.5669750000000002</v>
      </c>
      <c r="E83" s="275">
        <f t="shared" si="1"/>
        <v>15.13395</v>
      </c>
      <c r="F83" s="274"/>
      <c r="G83" s="274" t="s">
        <v>534</v>
      </c>
      <c r="H83" s="274" t="s">
        <v>535</v>
      </c>
      <c r="I83" s="276" t="s">
        <v>536</v>
      </c>
      <c r="J83" s="274"/>
    </row>
    <row r="84" spans="1:10" x14ac:dyDescent="0.25">
      <c r="A84" s="274">
        <v>82</v>
      </c>
      <c r="B84" s="274">
        <v>2</v>
      </c>
      <c r="C84" s="274" t="s">
        <v>578</v>
      </c>
      <c r="D84" s="275">
        <f>3.31*2.96</f>
        <v>9.7975999999999992</v>
      </c>
      <c r="E84" s="275">
        <f t="shared" si="1"/>
        <v>19.595199999999998</v>
      </c>
      <c r="F84" s="274"/>
      <c r="G84" s="274" t="s">
        <v>534</v>
      </c>
      <c r="H84" s="274" t="s">
        <v>535</v>
      </c>
      <c r="I84" s="276" t="s">
        <v>536</v>
      </c>
      <c r="J84" s="274"/>
    </row>
    <row r="85" spans="1:10" x14ac:dyDescent="0.25">
      <c r="A85" s="274">
        <v>83</v>
      </c>
      <c r="B85" s="274">
        <v>2</v>
      </c>
      <c r="C85" s="274" t="s">
        <v>594</v>
      </c>
      <c r="D85" s="275">
        <f>3.395*2.96</f>
        <v>10.049200000000001</v>
      </c>
      <c r="E85" s="275">
        <f t="shared" si="1"/>
        <v>20.098400000000002</v>
      </c>
      <c r="F85" s="274"/>
      <c r="G85" s="274" t="s">
        <v>534</v>
      </c>
      <c r="H85" s="274" t="s">
        <v>535</v>
      </c>
      <c r="I85" s="276" t="s">
        <v>536</v>
      </c>
      <c r="J85" s="274"/>
    </row>
    <row r="86" spans="1:10" ht="15.75" thickBot="1" x14ac:dyDescent="0.3"/>
    <row r="87" spans="1:10" ht="15.75" thickBot="1" x14ac:dyDescent="0.3">
      <c r="B87" s="1">
        <f>SUM(B4:B85)</f>
        <v>278</v>
      </c>
      <c r="C87" s="4"/>
      <c r="D87" s="277" t="s">
        <v>1472</v>
      </c>
      <c r="E87" s="278">
        <f t="shared" ref="E87" si="2">SUM(E4:E85)</f>
        <v>3176.7492834999998</v>
      </c>
    </row>
    <row r="90" spans="1:10" x14ac:dyDescent="0.25">
      <c r="D90" s="2" t="s">
        <v>601</v>
      </c>
      <c r="E90" s="2">
        <v>241</v>
      </c>
    </row>
    <row r="94" spans="1:10" x14ac:dyDescent="0.25">
      <c r="F94" s="1">
        <f>(E87*14500+E90*20000)/E87</f>
        <v>16017.274285709302</v>
      </c>
    </row>
  </sheetData>
  <pageMargins left="0.7" right="0.7" top="0.78740157499999996" bottom="0.78740157499999996" header="0.3" footer="0.3"/>
  <pageSetup paperSize="9" scale="9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</vt:i4>
      </vt:variant>
    </vt:vector>
  </HeadingPairs>
  <TitlesOfParts>
    <vt:vector size="10" baseType="lpstr">
      <vt:lpstr>P1_podlahy</vt:lpstr>
      <vt:lpstr>P2_podhledy</vt:lpstr>
      <vt:lpstr>P3_stěny</vt:lpstr>
      <vt:lpstr>P4_sokly</vt:lpstr>
      <vt:lpstr>P5_LOP</vt:lpstr>
      <vt:lpstr>P1_podlahy!Oblast_tisku</vt:lpstr>
      <vt:lpstr>P2_podhledy!Oblast_tisku</vt:lpstr>
      <vt:lpstr>P3_stěny!Oblast_tisku</vt:lpstr>
      <vt:lpstr>P4_sokly!Oblast_tisku</vt:lpstr>
      <vt:lpstr>P5_LOP!Oblast_tisku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(K:\\330\\_Brno_Cerveny_Kopec_BOCK\\stavebn\355\\BOCK_SZK_DPS_D.1.1_01_p\371dorys 1.PP Model \(1\))</dc:title>
  <dc:creator>ladis</dc:creator>
  <cp:lastModifiedBy>Wpich V</cp:lastModifiedBy>
  <dcterms:created xsi:type="dcterms:W3CDTF">2022-07-22T10:20:03Z</dcterms:created>
  <dcterms:modified xsi:type="dcterms:W3CDTF">2025-07-03T18:42:33Z</dcterms:modified>
</cp:coreProperties>
</file>